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General 04-05 (Template)" sheetId="13" r:id="rId1"/>
    <sheet name="General 05-06 (Original)" sheetId="5" r:id="rId2"/>
    <sheet name="Special 04-05 (template)" sheetId="14" r:id="rId3"/>
    <sheet name="Special 05-06 (Original)" sheetId="4" r:id="rId4"/>
    <sheet name="Vocational 04-05 (template)" sheetId="15" r:id="rId5"/>
    <sheet name="Vocational 05-06 (Original)" sheetId="6" r:id="rId6"/>
    <sheet name="General 05-06 (12-31)" sheetId="7" r:id="rId7"/>
    <sheet name="Special 05-06 (12-31)" sheetId="8" r:id="rId8"/>
    <sheet name="Vocational 05-06 (12-31)" sheetId="9" r:id="rId9"/>
    <sheet name="General 05-06 (4-30)" sheetId="10" r:id="rId10"/>
    <sheet name="Special 05-06 (4-30)" sheetId="11" r:id="rId11"/>
    <sheet name="Vocational 04-05 (4-30)" sheetId="12" r:id="rId12"/>
  </sheets>
  <definedNames>
    <definedName name="_1__123Graph_ACHART_1" localSheetId="0" hidden="1">'General 04-05 (Template)'!$B$50:$M$50</definedName>
    <definedName name="_2__123Graph_ACHART_1" localSheetId="6" hidden="1">'General 05-06 (12-31)'!$B$46:$M$46</definedName>
    <definedName name="_3__123Graph_ACHART_1" localSheetId="9" hidden="1">'General 05-06 (4-30)'!$B$46:$M$46</definedName>
    <definedName name="_4__123Graph_ACHART_1" localSheetId="1" hidden="1">'General 05-06 (Original)'!$B$36:$M$36</definedName>
    <definedName name="_5__123Graph_ACHART_1" localSheetId="2" hidden="1">'Special 04-05 (template)'!$B$50:$M$50</definedName>
    <definedName name="_6__123Graph_ACHART_1" localSheetId="7" hidden="1">'Special 05-06 (12-31)'!$B$46:$M$46</definedName>
    <definedName name="_7__123Graph_ACHART_1" localSheetId="10" hidden="1">'Special 05-06 (4-30)'!$B$46:$M$46</definedName>
    <definedName name="_8__123Graph_ACHART_1" localSheetId="3" hidden="1">'Special 05-06 (Original)'!$B$36:$M$36</definedName>
    <definedName name="_9__123Graph_ACHART_2" localSheetId="0" hidden="1">'General 04-05 (Template)'!$B$15:$M$15</definedName>
    <definedName name="_10__123Graph_ACHART_2" localSheetId="6" hidden="1">'General 05-06 (12-31)'!$B$15:$M$15</definedName>
    <definedName name="_11__123Graph_ACHART_2" localSheetId="9" hidden="1">'General 05-06 (4-30)'!$B$15:$M$15</definedName>
    <definedName name="_12__123Graph_ACHART_2" localSheetId="1" hidden="1">'General 05-06 (Original)'!$B$15:$M$15</definedName>
    <definedName name="_13__123Graph_ACHART_2" localSheetId="2" hidden="1">'Special 04-05 (template)'!$B$15:$M$15</definedName>
    <definedName name="_14__123Graph_ACHART_2" localSheetId="7" hidden="1">'Special 05-06 (12-31)'!$B$15:$M$15</definedName>
    <definedName name="_15__123Graph_ACHART_2" localSheetId="10" hidden="1">'Special 05-06 (4-30)'!$B$15:$M$15</definedName>
    <definedName name="_16__123Graph_ACHART_2" localSheetId="3" hidden="1">'Special 05-06 (Original)'!$B$15:$M$15</definedName>
    <definedName name="_17__123Graph_ACHART_3" localSheetId="11" hidden="1">'Vocational 04-05 (4-30)'!$B$46:$M$46</definedName>
    <definedName name="_18__123Graph_ACHART_3" localSheetId="4" hidden="1">'Vocational 04-05 (template)'!$B$50:$M$50</definedName>
    <definedName name="_19__123Graph_ACHART_3" localSheetId="8" hidden="1">'Vocational 05-06 (12-31)'!$B$46:$M$46</definedName>
    <definedName name="_20__123Graph_ACHART_3" localSheetId="5" hidden="1">'Vocational 05-06 (Original)'!$B$36:$M$36</definedName>
    <definedName name="_21__123Graph_BCHART_1" localSheetId="0" hidden="1">'General 04-05 (Template)'!#REF!</definedName>
    <definedName name="_22__123Graph_BCHART_1" localSheetId="6" hidden="1">'General 05-06 (12-31)'!#REF!</definedName>
    <definedName name="_23__123Graph_BCHART_1" localSheetId="9" hidden="1">'General 05-06 (4-30)'!#REF!</definedName>
    <definedName name="_24__123Graph_BCHART_1" localSheetId="1" hidden="1">'General 05-06 (Original)'!#REF!</definedName>
    <definedName name="_25__123Graph_BCHART_1" localSheetId="2" hidden="1">'Special 04-05 (template)'!#REF!</definedName>
    <definedName name="_26__123Graph_BCHART_1" localSheetId="7" hidden="1">'Special 05-06 (12-31)'!#REF!</definedName>
    <definedName name="_27__123Graph_BCHART_1" localSheetId="10" hidden="1">'Special 05-06 (4-30)'!#REF!</definedName>
    <definedName name="_28__123Graph_BCHART_1" localSheetId="3" hidden="1">'Special 05-06 (Original)'!#REF!</definedName>
    <definedName name="_29__123Graph_BCHART_2" localSheetId="0" hidden="1">'General 04-05 (Template)'!#REF!</definedName>
    <definedName name="_30__123Graph_BCHART_2" localSheetId="6" hidden="1">'General 05-06 (12-31)'!#REF!</definedName>
    <definedName name="_31__123Graph_BCHART_2" localSheetId="9" hidden="1">'General 05-06 (4-30)'!#REF!</definedName>
    <definedName name="_32__123Graph_BCHART_2" localSheetId="1" hidden="1">'General 05-06 (Original)'!#REF!</definedName>
    <definedName name="_33__123Graph_BCHART_2" localSheetId="2" hidden="1">'Special 04-05 (template)'!#REF!</definedName>
    <definedName name="_34__123Graph_BCHART_2" localSheetId="7" hidden="1">'Special 05-06 (12-31)'!#REF!</definedName>
    <definedName name="_35__123Graph_BCHART_2" localSheetId="10" hidden="1">'Special 05-06 (4-30)'!#REF!</definedName>
    <definedName name="_36__123Graph_BCHART_2" localSheetId="3" hidden="1">'Special 05-06 (Original)'!#REF!</definedName>
    <definedName name="_37__123Graph_BCHART_2" localSheetId="11" hidden="1">'Vocational 04-05 (4-30)'!#REF!</definedName>
    <definedName name="_38__123Graph_BCHART_2" localSheetId="4" hidden="1">'Vocational 04-05 (template)'!#REF!</definedName>
    <definedName name="_39__123Graph_BCHART_2" localSheetId="8" hidden="1">'Vocational 05-06 (12-31)'!#REF!</definedName>
    <definedName name="_40__123Graph_BCHART_2" localSheetId="5" hidden="1">'Vocational 05-06 (Original)'!#REF!</definedName>
    <definedName name="_41__123Graph_BCHART_3" localSheetId="11" hidden="1">'Vocational 04-05 (4-30)'!#REF!</definedName>
    <definedName name="_42__123Graph_BCHART_3" localSheetId="4" hidden="1">'Vocational 04-05 (template)'!#REF!</definedName>
    <definedName name="_43__123Graph_BCHART_3" localSheetId="8" hidden="1">'Vocational 05-06 (12-31)'!#REF!</definedName>
    <definedName name="_44__123Graph_BCHART_3" localSheetId="5" hidden="1">'Vocational 05-06 (Original)'!#REF!</definedName>
    <definedName name="_45__123Graph_CCHART_1" localSheetId="0" hidden="1">'General 04-05 (Template)'!$B$68:$I$68</definedName>
    <definedName name="_46__123Graph_CCHART_1" localSheetId="6" hidden="1">'General 05-06 (12-31)'!$B$62:$I$62</definedName>
    <definedName name="_47__123Graph_CCHART_1" localSheetId="9" hidden="1">'General 05-06 (4-30)'!$B$62:$I$62</definedName>
    <definedName name="_48__123Graph_CCHART_1" localSheetId="1" hidden="1">'General 05-06 (Original)'!$B$44:$I$44</definedName>
    <definedName name="_49__123Graph_CCHART_1" localSheetId="2" hidden="1">'Special 04-05 (template)'!$B$68:$I$68</definedName>
    <definedName name="_50__123Graph_CCHART_1" localSheetId="7" hidden="1">'Special 05-06 (12-31)'!$B$62:$I$62</definedName>
    <definedName name="_51__123Graph_CCHART_1" localSheetId="10" hidden="1">'Special 05-06 (4-30)'!$B$62:$I$62</definedName>
    <definedName name="_52__123Graph_CCHART_1" localSheetId="3" hidden="1">'Special 05-06 (Original)'!$B$44:$I$44</definedName>
    <definedName name="_53__123Graph_CCHART_2" localSheetId="0" hidden="1">'General 04-05 (Template)'!$B$39:$I$39</definedName>
    <definedName name="_54__123Graph_CCHART_2" localSheetId="6" hidden="1">'General 05-06 (12-31)'!$B$35:$I$35</definedName>
    <definedName name="_55__123Graph_CCHART_2" localSheetId="9" hidden="1">'General 05-06 (4-30)'!$B$35:$I$35</definedName>
    <definedName name="_56__123Graph_CCHART_2" localSheetId="1" hidden="1">'General 05-06 (Original)'!$B$25:$I$25</definedName>
    <definedName name="_57__123Graph_CCHART_2" localSheetId="2" hidden="1">'Special 04-05 (template)'!$B$39:$I$39</definedName>
    <definedName name="_58__123Graph_CCHART_2" localSheetId="7" hidden="1">'Special 05-06 (12-31)'!$B$35:$I$35</definedName>
    <definedName name="_59__123Graph_CCHART_2" localSheetId="10" hidden="1">'Special 05-06 (4-30)'!$B$35:$I$35</definedName>
    <definedName name="_60__123Graph_CCHART_2" localSheetId="3" hidden="1">'Special 05-06 (Original)'!$B$25:$I$25</definedName>
    <definedName name="_61__123Graph_CCHART_2" localSheetId="11" hidden="1">'Vocational 04-05 (4-30)'!$B$35:$I$35</definedName>
    <definedName name="_62__123Graph_CCHART_2" localSheetId="4" hidden="1">'Vocational 04-05 (template)'!$B$39:$I$39</definedName>
    <definedName name="_63__123Graph_CCHART_2" localSheetId="8" hidden="1">'Vocational 05-06 (12-31)'!$B$35:$I$35</definedName>
    <definedName name="_64__123Graph_CCHART_2" localSheetId="5" hidden="1">'Vocational 05-06 (Original)'!$B$25:$I$25</definedName>
    <definedName name="_65__123Graph_CCHART_3" localSheetId="11" hidden="1">'Vocational 04-05 (4-30)'!$B$62:$I$62</definedName>
    <definedName name="_66__123Graph_CCHART_3" localSheetId="4" hidden="1">'Vocational 04-05 (template)'!$B$68:$I$68</definedName>
    <definedName name="_67__123Graph_CCHART_3" localSheetId="8" hidden="1">'Vocational 05-06 (12-31)'!$B$62:$I$62</definedName>
    <definedName name="_68__123Graph_CCHART_3" localSheetId="5" hidden="1">'Vocational 05-06 (Original)'!$B$44:$I$44</definedName>
    <definedName name="__123Graph_X" localSheetId="0" hidden="1">'General 04-05 (Template)'!$B$6:$M$6</definedName>
    <definedName name="__123Graph_X" localSheetId="6" hidden="1">'General 05-06 (12-31)'!$B$6:$M$6</definedName>
    <definedName name="__123Graph_X" localSheetId="9" hidden="1">'General 05-06 (4-30)'!$B$6:$M$6</definedName>
    <definedName name="__123Graph_X" localSheetId="1" hidden="1">'General 05-06 (Original)'!$B$6:$M$6</definedName>
    <definedName name="__123Graph_X" localSheetId="2" hidden="1">'Special 04-05 (template)'!$B$6:$M$6</definedName>
    <definedName name="__123Graph_X" localSheetId="7" hidden="1">'Special 05-06 (12-31)'!$B$6:$M$6</definedName>
    <definedName name="__123Graph_X" localSheetId="10" hidden="1">'Special 05-06 (4-30)'!$B$6:$M$6</definedName>
    <definedName name="__123Graph_X" localSheetId="3" hidden="1">'Special 05-06 (Original)'!$B$6:$M$6</definedName>
    <definedName name="__123Graph_X" localSheetId="11" hidden="1">'Vocational 04-05 (4-30)'!$B$6:$M$6</definedName>
    <definedName name="__123Graph_X" localSheetId="4" hidden="1">'Vocational 04-05 (template)'!$B$6:$M$6</definedName>
    <definedName name="__123Graph_X" localSheetId="8" hidden="1">'Vocational 05-06 (12-31)'!$B$6:$M$6</definedName>
    <definedName name="__123Graph_X" localSheetId="5" hidden="1">'Vocational 05-06 (Original)'!$B$6:$M$6</definedName>
    <definedName name="_69__123Graph_XCHART_1" localSheetId="0" hidden="1">'General 04-05 (Template)'!$B$6:$M$6</definedName>
    <definedName name="_70__123Graph_XCHART_1" localSheetId="6" hidden="1">'General 05-06 (12-31)'!$B$6:$M$6</definedName>
    <definedName name="_71__123Graph_XCHART_1" localSheetId="9" hidden="1">'General 05-06 (4-30)'!$B$6:$M$6</definedName>
    <definedName name="_72__123Graph_XCHART_1" localSheetId="1" hidden="1">'General 05-06 (Original)'!$B$6:$M$6</definedName>
    <definedName name="_73__123Graph_XCHART_1" localSheetId="2" hidden="1">'Special 04-05 (template)'!$B$6:$M$6</definedName>
    <definedName name="_74__123Graph_XCHART_1" localSheetId="7" hidden="1">'Special 05-06 (12-31)'!$B$6:$M$6</definedName>
    <definedName name="_75__123Graph_XCHART_1" localSheetId="10" hidden="1">'Special 05-06 (4-30)'!$B$6:$M$6</definedName>
    <definedName name="_76__123Graph_XCHART_1" localSheetId="3" hidden="1">'Special 05-06 (Original)'!$B$6:$M$6</definedName>
    <definedName name="_77__123Graph_XCHART_2" localSheetId="0" hidden="1">'General 04-05 (Template)'!$B$6:$M$6</definedName>
    <definedName name="_78__123Graph_XCHART_2" localSheetId="6" hidden="1">'General 05-06 (12-31)'!$B$6:$M$6</definedName>
    <definedName name="_79__123Graph_XCHART_2" localSheetId="9" hidden="1">'General 05-06 (4-30)'!$B$6:$M$6</definedName>
    <definedName name="_80__123Graph_XCHART_2" localSheetId="1" hidden="1">'General 05-06 (Original)'!$B$6:$M$6</definedName>
    <definedName name="_81__123Graph_XCHART_2" localSheetId="2" hidden="1">'Special 04-05 (template)'!$B$6:$M$6</definedName>
    <definedName name="_82__123Graph_XCHART_2" localSheetId="7" hidden="1">'Special 05-06 (12-31)'!$B$6:$M$6</definedName>
    <definedName name="_83__123Graph_XCHART_2" localSheetId="10" hidden="1">'Special 05-06 (4-30)'!$B$6:$M$6</definedName>
    <definedName name="_84__123Graph_XCHART_2" localSheetId="3" hidden="1">'Special 05-06 (Original)'!$B$6:$M$6</definedName>
    <definedName name="_85__123Graph_XCHART_2" localSheetId="11" hidden="1">'Vocational 04-05 (4-30)'!$B$6:$M$6</definedName>
    <definedName name="_86__123Graph_XCHART_2" localSheetId="4" hidden="1">'Vocational 04-05 (template)'!$B$6:$M$6</definedName>
    <definedName name="_87__123Graph_XCHART_2" localSheetId="8" hidden="1">'Vocational 05-06 (12-31)'!$B$6:$M$6</definedName>
    <definedName name="_88__123Graph_XCHART_2" localSheetId="5" hidden="1">'Vocational 05-06 (Original)'!$B$6:$M$6</definedName>
    <definedName name="_89__123Graph_XCHART_3" localSheetId="11" hidden="1">'Vocational 04-05 (4-30)'!$B$6:$M$6</definedName>
    <definedName name="_90__123Graph_XCHART_3" localSheetId="4" hidden="1">'Vocational 04-05 (template)'!$B$6:$M$6</definedName>
    <definedName name="_91__123Graph_XCHART_3" localSheetId="8" hidden="1">'Vocational 05-06 (12-31)'!$B$6:$M$6</definedName>
    <definedName name="_92__123Graph_XCHART_3" localSheetId="5" hidden="1">'Vocational 05-06 (Original)'!$B$6:$M$6</definedName>
    <definedName name="ACTREV" localSheetId="0">'General 04-05 (Template)'!$B$39:$E$39</definedName>
    <definedName name="ACTREV" localSheetId="6">'General 05-06 (12-31)'!$B$35:$E$35</definedName>
    <definedName name="ACTREV" localSheetId="9">'General 05-06 (4-30)'!$B$35:$E$35</definedName>
    <definedName name="ACTREV" localSheetId="1">'General 05-06 (Original)'!$B$25:$E$25</definedName>
    <definedName name="ACTREV" localSheetId="2">'Special 04-05 (template)'!$B$39:$E$39</definedName>
    <definedName name="ACTREV" localSheetId="7">'Special 05-06 (12-31)'!$B$35:$E$35</definedName>
    <definedName name="ACTREV" localSheetId="10">'Special 05-06 (4-30)'!$B$35:$E$35</definedName>
    <definedName name="ACTREV" localSheetId="3">'Special 05-06 (Original)'!$B$25:$E$25</definedName>
    <definedName name="ACTREV" localSheetId="11">'Vocational 04-05 (4-30)'!$B$35:$E$35</definedName>
    <definedName name="ACTREV" localSheetId="4">'Vocational 04-05 (template)'!$B$39:$E$39</definedName>
    <definedName name="ACTREV" localSheetId="8">'Vocational 05-06 (12-31)'!$B$35:$E$35</definedName>
    <definedName name="ACTREV" localSheetId="5">'Vocational 05-06 (Original)'!$B$25:$E$25</definedName>
    <definedName name="ACTREV">#REF!</definedName>
    <definedName name="ACTUAL" localSheetId="0">'General 04-05 (Template)'!$B$69:$E$69</definedName>
    <definedName name="ACTUAL" localSheetId="6">'General 05-06 (12-31)'!$B$63:$E$63</definedName>
    <definedName name="ACTUAL" localSheetId="9">'General 05-06 (4-30)'!$B$63:$E$63</definedName>
    <definedName name="ACTUAL" localSheetId="1">'General 05-06 (Original)'!$B$45:$E$45</definedName>
    <definedName name="ACTUAL" localSheetId="2">'Special 04-05 (template)'!$B$69:$E$69</definedName>
    <definedName name="ACTUAL" localSheetId="7">'Special 05-06 (12-31)'!$B$63:$E$63</definedName>
    <definedName name="ACTUAL" localSheetId="10">'Special 05-06 (4-30)'!$B$63:$E$63</definedName>
    <definedName name="ACTUAL" localSheetId="3">'Special 05-06 (Original)'!$B$45:$E$45</definedName>
    <definedName name="ACTUAL">#REF!</definedName>
    <definedName name="AMENDED" localSheetId="11">'Vocational 04-05 (4-30)'!#REF!</definedName>
    <definedName name="AMENDED" localSheetId="4">'Vocational 04-05 (template)'!#REF!</definedName>
    <definedName name="AMENDED" localSheetId="8">'Vocational 05-06 (12-31)'!#REF!</definedName>
    <definedName name="AMENDED" localSheetId="5">'Vocational 05-06 (Original)'!#REF!</definedName>
    <definedName name="AMENDED">#REF!</definedName>
    <definedName name="ORIGINAL" localSheetId="0">'General 04-05 (Template)'!$B$50:$M$50</definedName>
    <definedName name="ORIGINAL" localSheetId="6">'General 05-06 (12-31)'!$B$46:$M$46</definedName>
    <definedName name="ORIGINAL" localSheetId="9">'General 05-06 (4-30)'!$B$46:$M$46</definedName>
    <definedName name="ORIGINAL" localSheetId="1">'General 05-06 (Original)'!$B$36:$M$36</definedName>
    <definedName name="ORIGINAL" localSheetId="2">'Special 04-05 (template)'!$B$50:$M$50</definedName>
    <definedName name="ORIGINAL" localSheetId="7">'Special 05-06 (12-31)'!$B$46:$M$46</definedName>
    <definedName name="ORIGINAL" localSheetId="10">'Special 05-06 (4-30)'!$B$46:$M$46</definedName>
    <definedName name="ORIGINAL" localSheetId="3">'Special 05-06 (Original)'!$B$36:$M$36</definedName>
    <definedName name="ORIGINAL" localSheetId="11">'Vocational 04-05 (4-30)'!$B$46:$M$46</definedName>
    <definedName name="ORIGINAL" localSheetId="4">'Vocational 04-05 (template)'!$B$50:$M$50</definedName>
    <definedName name="ORIGINAL" localSheetId="8">'Vocational 05-06 (12-31)'!$B$46:$M$46</definedName>
    <definedName name="ORIGINAL" localSheetId="5">'Vocational 05-06 (Original)'!$B$36:$M$36</definedName>
    <definedName name="ORIGINAL">#REF!</definedName>
    <definedName name="ORIGREV" localSheetId="0">'General 04-05 (Template)'!$B$15:$M$15</definedName>
    <definedName name="ORIGREV" localSheetId="6">'General 05-06 (12-31)'!$B$15:$M$15</definedName>
    <definedName name="ORIGREV" localSheetId="9">'General 05-06 (4-30)'!$B$15:$M$15</definedName>
    <definedName name="ORIGREV" localSheetId="1">'General 05-06 (Original)'!$B$15:$M$15</definedName>
    <definedName name="ORIGREV" localSheetId="2">'Special 04-05 (template)'!$B$15:$M$15</definedName>
    <definedName name="ORIGREV" localSheetId="7">'Special 05-06 (12-31)'!$B$15:$M$15</definedName>
    <definedName name="ORIGREV" localSheetId="10">'Special 05-06 (4-30)'!$B$15:$M$15</definedName>
    <definedName name="ORIGREV" localSheetId="3">'Special 05-06 (Original)'!$B$15:$M$15</definedName>
    <definedName name="ORIGREV" localSheetId="11">'Vocational 04-05 (4-30)'!$B$15:$M$15</definedName>
    <definedName name="ORIGREV" localSheetId="4">'Vocational 04-05 (template)'!$B$15:$M$15</definedName>
    <definedName name="ORIGREV" localSheetId="8">'Vocational 05-06 (12-31)'!$B$15:$M$15</definedName>
    <definedName name="ORIGREV" localSheetId="5">'Vocational 05-06 (Original)'!$B$15:$M$15</definedName>
    <definedName name="ORIGREV">#REF!</definedName>
    <definedName name="_xlnm.Print_Area" localSheetId="0">'General 04-05 (Template)'!$A$72:$I$129</definedName>
    <definedName name="_xlnm.Print_Area" localSheetId="6">'General 05-06 (12-31)'!$A$1:$M$62</definedName>
    <definedName name="_xlnm.Print_Area" localSheetId="9">'General 05-06 (4-30)'!$A$66:$I$123</definedName>
    <definedName name="_xlnm.Print_Area" localSheetId="1">'General 05-06 (Original)'!$A$1:$M$44</definedName>
    <definedName name="_xlnm.Print_Area" localSheetId="2">'Special 04-05 (template)'!$A$72:$I$127</definedName>
    <definedName name="_xlnm.Print_Area" localSheetId="7">'Special 05-06 (12-31)'!$A$1:$M$62</definedName>
    <definedName name="_xlnm.Print_Area" localSheetId="10">'Special 05-06 (4-30)'!$A$66:$I$121</definedName>
    <definedName name="_xlnm.Print_Area" localSheetId="3">'Special 05-06 (Original)'!$A$1:$M$44</definedName>
    <definedName name="_xlnm.Print_Area" localSheetId="11">'Vocational 04-05 (4-30)'!$A$69:$I$121</definedName>
    <definedName name="_xlnm.Print_Area" localSheetId="4">'Vocational 04-05 (template)'!$A$75:$I$127</definedName>
    <definedName name="_xlnm.Print_Area" localSheetId="8">'Vocational 05-06 (12-31)'!$A$69:$I$121</definedName>
    <definedName name="_xlnm.Print_Area" localSheetId="5">'Vocational 05-06 (Original)'!$A$1:$M$44</definedName>
  </definedNames>
  <calcPr calcId="125725"/>
</workbook>
</file>

<file path=xl/calcChain.xml><?xml version="1.0" encoding="utf-8"?>
<calcChain xmlns="http://schemas.openxmlformats.org/spreadsheetml/2006/main">
  <c r="H59" i="8"/>
  <c r="H60" s="1"/>
  <c r="H33" i="7"/>
  <c r="M52" i="9"/>
  <c r="L52" s="1"/>
  <c r="K52"/>
  <c r="I52"/>
  <c r="M52" i="8"/>
  <c r="L52" s="1"/>
  <c r="L54" s="1"/>
  <c r="H52"/>
  <c r="H54" s="1"/>
  <c r="J20" i="9"/>
  <c r="I20"/>
  <c r="H20"/>
  <c r="G60" i="8"/>
  <c r="L22"/>
  <c r="L20"/>
  <c r="K20"/>
  <c r="J20"/>
  <c r="I20"/>
  <c r="H20"/>
  <c r="H21" i="7"/>
  <c r="H22"/>
  <c r="M23" i="8"/>
  <c r="M23" i="7"/>
  <c r="G33"/>
  <c r="G32"/>
  <c r="G31"/>
  <c r="G30"/>
  <c r="C20" i="9"/>
  <c r="D20"/>
  <c r="E20"/>
  <c r="F20"/>
  <c r="G20"/>
  <c r="C21"/>
  <c r="D21"/>
  <c r="E21"/>
  <c r="F21"/>
  <c r="G21"/>
  <c r="H21" s="1"/>
  <c r="I21" s="1"/>
  <c r="J21" s="1"/>
  <c r="K21" s="1"/>
  <c r="L21" s="1"/>
  <c r="C22"/>
  <c r="D22"/>
  <c r="E22"/>
  <c r="F22"/>
  <c r="G22"/>
  <c r="H22" s="1"/>
  <c r="I22" s="1"/>
  <c r="J22" s="1"/>
  <c r="K22" s="1"/>
  <c r="L22" s="1"/>
  <c r="C23"/>
  <c r="D23"/>
  <c r="E23"/>
  <c r="F23"/>
  <c r="G23"/>
  <c r="B23"/>
  <c r="B22"/>
  <c r="B21"/>
  <c r="B20"/>
  <c r="C51"/>
  <c r="C52"/>
  <c r="D52"/>
  <c r="E52"/>
  <c r="F52"/>
  <c r="C54"/>
  <c r="B52"/>
  <c r="B54"/>
  <c r="B51"/>
  <c r="C62"/>
  <c r="B62"/>
  <c r="C43"/>
  <c r="D43"/>
  <c r="E43"/>
  <c r="F43"/>
  <c r="G43"/>
  <c r="H43"/>
  <c r="I43"/>
  <c r="J43"/>
  <c r="K43"/>
  <c r="L43"/>
  <c r="B43"/>
  <c r="C52" i="8"/>
  <c r="D52"/>
  <c r="E52"/>
  <c r="F52"/>
  <c r="G52"/>
  <c r="G54"/>
  <c r="B52"/>
  <c r="B51"/>
  <c r="B62"/>
  <c r="B54"/>
  <c r="C54" i="7"/>
  <c r="B54"/>
  <c r="G20" i="8"/>
  <c r="G21"/>
  <c r="H21" s="1"/>
  <c r="I21" s="1"/>
  <c r="J21" s="1"/>
  <c r="K21" s="1"/>
  <c r="L21" s="1"/>
  <c r="G22"/>
  <c r="H22" s="1"/>
  <c r="G23"/>
  <c r="H23" s="1"/>
  <c r="I23" s="1"/>
  <c r="J23" s="1"/>
  <c r="K23" s="1"/>
  <c r="L23" s="1"/>
  <c r="C20"/>
  <c r="D20"/>
  <c r="E20"/>
  <c r="F20"/>
  <c r="C21"/>
  <c r="D21"/>
  <c r="E21"/>
  <c r="F21"/>
  <c r="C22"/>
  <c r="D22"/>
  <c r="E22"/>
  <c r="F22"/>
  <c r="C23"/>
  <c r="D23"/>
  <c r="E23"/>
  <c r="F23"/>
  <c r="B23"/>
  <c r="B22"/>
  <c r="B21"/>
  <c r="B20"/>
  <c r="D20" i="7"/>
  <c r="E20"/>
  <c r="F20"/>
  <c r="D21"/>
  <c r="E21"/>
  <c r="F21"/>
  <c r="D22"/>
  <c r="E22"/>
  <c r="F22"/>
  <c r="D23"/>
  <c r="E23"/>
  <c r="F23"/>
  <c r="C20"/>
  <c r="C21"/>
  <c r="C22"/>
  <c r="C23"/>
  <c r="B23"/>
  <c r="B22"/>
  <c r="B21"/>
  <c r="B20"/>
  <c r="M15"/>
  <c r="B12"/>
  <c r="C12" s="1"/>
  <c r="B10"/>
  <c r="F35"/>
  <c r="E35"/>
  <c r="D35"/>
  <c r="C35"/>
  <c r="B35"/>
  <c r="D59" i="9"/>
  <c r="D51" s="1"/>
  <c r="D54" s="1"/>
  <c r="E59"/>
  <c r="F59" s="1"/>
  <c r="M44"/>
  <c r="M35"/>
  <c r="L35"/>
  <c r="K35"/>
  <c r="J35"/>
  <c r="I35"/>
  <c r="H35"/>
  <c r="G35"/>
  <c r="F35"/>
  <c r="E35"/>
  <c r="D35"/>
  <c r="C35"/>
  <c r="B35"/>
  <c r="M15"/>
  <c r="B10"/>
  <c r="B11"/>
  <c r="C59" i="8"/>
  <c r="C51" s="1"/>
  <c r="C54" s="1"/>
  <c r="B44"/>
  <c r="B46" s="1"/>
  <c r="M44"/>
  <c r="M35"/>
  <c r="L35"/>
  <c r="K35"/>
  <c r="J35"/>
  <c r="I35"/>
  <c r="H35"/>
  <c r="G35"/>
  <c r="F35"/>
  <c r="E35"/>
  <c r="D35"/>
  <c r="C35"/>
  <c r="B35"/>
  <c r="M15"/>
  <c r="B10"/>
  <c r="M44" i="7"/>
  <c r="M35"/>
  <c r="L35"/>
  <c r="K35"/>
  <c r="J35"/>
  <c r="I35"/>
  <c r="H35"/>
  <c r="G35"/>
  <c r="C41" i="6"/>
  <c r="C42" s="1"/>
  <c r="B41"/>
  <c r="B11"/>
  <c r="B10"/>
  <c r="C12"/>
  <c r="E12"/>
  <c r="G12"/>
  <c r="I12"/>
  <c r="K12"/>
  <c r="C13"/>
  <c r="E13"/>
  <c r="G13"/>
  <c r="I13"/>
  <c r="K13"/>
  <c r="C10"/>
  <c r="E10"/>
  <c r="G10"/>
  <c r="I10"/>
  <c r="K10"/>
  <c r="C37" i="15"/>
  <c r="C13" i="9" s="1"/>
  <c r="D37" i="15"/>
  <c r="D13" i="6" s="1"/>
  <c r="E37" i="15"/>
  <c r="E13" i="9" s="1"/>
  <c r="F37" i="15"/>
  <c r="F13" i="6" s="1"/>
  <c r="G37" i="15"/>
  <c r="G13" i="9" s="1"/>
  <c r="H37" i="15"/>
  <c r="H13" i="6" s="1"/>
  <c r="I37" i="15"/>
  <c r="I13" i="9" s="1"/>
  <c r="J37" i="15"/>
  <c r="J13" i="6" s="1"/>
  <c r="K37" i="15"/>
  <c r="K13" i="9" s="1"/>
  <c r="L37" i="15"/>
  <c r="L13" i="6" s="1"/>
  <c r="M37" i="15"/>
  <c r="B37"/>
  <c r="B13" i="9" s="1"/>
  <c r="C35" i="15"/>
  <c r="C12" i="9" s="1"/>
  <c r="D35" i="15"/>
  <c r="D12" i="9" s="1"/>
  <c r="E35" i="15"/>
  <c r="E12" i="9" s="1"/>
  <c r="F35" i="15"/>
  <c r="F12" i="9" s="1"/>
  <c r="G35" i="15"/>
  <c r="G12" i="9" s="1"/>
  <c r="H35" i="15"/>
  <c r="H12" i="9" s="1"/>
  <c r="I35" i="15"/>
  <c r="I12" i="9" s="1"/>
  <c r="J35" i="15"/>
  <c r="J12" i="9" s="1"/>
  <c r="K35" i="15"/>
  <c r="K12" i="9" s="1"/>
  <c r="L35" i="15"/>
  <c r="L12" i="9" s="1"/>
  <c r="M35" i="15"/>
  <c r="B35"/>
  <c r="B12" i="9" s="1"/>
  <c r="C33" i="15"/>
  <c r="C11" i="9" s="1"/>
  <c r="D33" i="15"/>
  <c r="D11" i="6" s="1"/>
  <c r="E33" i="15"/>
  <c r="E11" i="9" s="1"/>
  <c r="F33" i="15"/>
  <c r="F11" i="6" s="1"/>
  <c r="G33" i="15"/>
  <c r="G11" i="9" s="1"/>
  <c r="H33" i="15"/>
  <c r="H11" i="6" s="1"/>
  <c r="I33" i="15"/>
  <c r="I11" i="9" s="1"/>
  <c r="J33" i="15"/>
  <c r="J11" i="6" s="1"/>
  <c r="K33" i="15"/>
  <c r="K11" i="9" s="1"/>
  <c r="L33" i="15"/>
  <c r="L11" i="6" s="1"/>
  <c r="M33" i="15"/>
  <c r="B33"/>
  <c r="C31"/>
  <c r="C10" i="9" s="1"/>
  <c r="C15" s="1"/>
  <c r="D31" i="15"/>
  <c r="D10" i="9" s="1"/>
  <c r="E31" i="15"/>
  <c r="E10" i="9" s="1"/>
  <c r="E15" s="1"/>
  <c r="F31" i="15"/>
  <c r="F10" i="9" s="1"/>
  <c r="G31" i="15"/>
  <c r="G10" i="9" s="1"/>
  <c r="G15" s="1"/>
  <c r="H31" i="15"/>
  <c r="H10" i="9" s="1"/>
  <c r="I31" i="15"/>
  <c r="I10" i="9" s="1"/>
  <c r="I15" s="1"/>
  <c r="J31" i="15"/>
  <c r="J10" i="9" s="1"/>
  <c r="K31" i="15"/>
  <c r="K10" i="9" s="1"/>
  <c r="K15" s="1"/>
  <c r="L31" i="15"/>
  <c r="L10" i="9" s="1"/>
  <c r="M31" i="15"/>
  <c r="B31"/>
  <c r="C10"/>
  <c r="D10"/>
  <c r="E10"/>
  <c r="F10"/>
  <c r="G10"/>
  <c r="H10"/>
  <c r="I10"/>
  <c r="J10"/>
  <c r="K10"/>
  <c r="L10"/>
  <c r="C11"/>
  <c r="D11"/>
  <c r="E11" s="1"/>
  <c r="D12"/>
  <c r="E12"/>
  <c r="F12"/>
  <c r="G12"/>
  <c r="H12"/>
  <c r="I12"/>
  <c r="J12"/>
  <c r="K12"/>
  <c r="L12"/>
  <c r="E13"/>
  <c r="F13"/>
  <c r="G13"/>
  <c r="H13"/>
  <c r="I13"/>
  <c r="J13"/>
  <c r="K13"/>
  <c r="L13"/>
  <c r="B15"/>
  <c r="C15"/>
  <c r="D15"/>
  <c r="M15"/>
  <c r="L20"/>
  <c r="L21"/>
  <c r="L22"/>
  <c r="L23"/>
  <c r="B25"/>
  <c r="C25"/>
  <c r="D25"/>
  <c r="E25"/>
  <c r="F25"/>
  <c r="G25"/>
  <c r="H25"/>
  <c r="I25"/>
  <c r="J25"/>
  <c r="K25"/>
  <c r="L25"/>
  <c r="M25"/>
  <c r="B39"/>
  <c r="C39"/>
  <c r="D39"/>
  <c r="E39"/>
  <c r="F39"/>
  <c r="G39"/>
  <c r="H39"/>
  <c r="I39"/>
  <c r="J39"/>
  <c r="K39"/>
  <c r="L39"/>
  <c r="M39"/>
  <c r="B47"/>
  <c r="C48"/>
  <c r="C50" s="1"/>
  <c r="D48"/>
  <c r="E48"/>
  <c r="E50" s="1"/>
  <c r="F48"/>
  <c r="G48"/>
  <c r="G50" s="1"/>
  <c r="H48"/>
  <c r="I48"/>
  <c r="I50" s="1"/>
  <c r="J48"/>
  <c r="K48"/>
  <c r="K50" s="1"/>
  <c r="L48"/>
  <c r="M48"/>
  <c r="D50"/>
  <c r="F50"/>
  <c r="H50"/>
  <c r="J50"/>
  <c r="L50"/>
  <c r="B55"/>
  <c r="D55"/>
  <c r="E55" s="1"/>
  <c r="E56" s="1"/>
  <c r="F55"/>
  <c r="H55"/>
  <c r="I55"/>
  <c r="B56"/>
  <c r="C56"/>
  <c r="D56"/>
  <c r="F56"/>
  <c r="G56"/>
  <c r="H56"/>
  <c r="K56"/>
  <c r="L56"/>
  <c r="M56"/>
  <c r="L58"/>
  <c r="B63"/>
  <c r="D63"/>
  <c r="H63"/>
  <c r="I63"/>
  <c r="J63" s="1"/>
  <c r="J65" s="1"/>
  <c r="M63"/>
  <c r="B65"/>
  <c r="B48" s="1"/>
  <c r="C65"/>
  <c r="G65"/>
  <c r="H65"/>
  <c r="K65"/>
  <c r="L65"/>
  <c r="M65"/>
  <c r="M66" s="1"/>
  <c r="B10" i="4"/>
  <c r="B41"/>
  <c r="M34"/>
  <c r="B13"/>
  <c r="D10"/>
  <c r="H10"/>
  <c r="L10"/>
  <c r="C37" i="14"/>
  <c r="C13" i="8" s="1"/>
  <c r="D37" i="14"/>
  <c r="E37"/>
  <c r="E13" i="8" s="1"/>
  <c r="F37" i="14"/>
  <c r="G37"/>
  <c r="G13" i="8" s="1"/>
  <c r="H37" i="14"/>
  <c r="I37"/>
  <c r="I13" i="8" s="1"/>
  <c r="J37" i="14"/>
  <c r="K37"/>
  <c r="K13" i="8" s="1"/>
  <c r="L37" i="14"/>
  <c r="M37"/>
  <c r="B37"/>
  <c r="B13" i="8" s="1"/>
  <c r="C35" i="14"/>
  <c r="C12" i="8" s="1"/>
  <c r="D35" i="14"/>
  <c r="E35"/>
  <c r="E12" i="8" s="1"/>
  <c r="F35" i="14"/>
  <c r="G35"/>
  <c r="G12" i="8" s="1"/>
  <c r="H35" i="14"/>
  <c r="I35"/>
  <c r="I12" i="8" s="1"/>
  <c r="J35" i="14"/>
  <c r="K35"/>
  <c r="K12" i="8" s="1"/>
  <c r="L35" i="14"/>
  <c r="M35"/>
  <c r="B35"/>
  <c r="C33"/>
  <c r="C11" i="8" s="1"/>
  <c r="D33" i="14"/>
  <c r="E33"/>
  <c r="E11" i="8" s="1"/>
  <c r="F33" i="14"/>
  <c r="G33"/>
  <c r="G11" i="8" s="1"/>
  <c r="H33" i="14"/>
  <c r="I33"/>
  <c r="I11" i="8" s="1"/>
  <c r="J33" i="14"/>
  <c r="K33"/>
  <c r="K11" i="8" s="1"/>
  <c r="L33" i="14"/>
  <c r="M33"/>
  <c r="B33"/>
  <c r="B11" i="8" s="1"/>
  <c r="C31" i="14"/>
  <c r="D31"/>
  <c r="D10" i="8" s="1"/>
  <c r="E31" i="14"/>
  <c r="F31"/>
  <c r="F10" i="8" s="1"/>
  <c r="G31" i="14"/>
  <c r="H31"/>
  <c r="H10" i="8" s="1"/>
  <c r="I31" i="14"/>
  <c r="J31"/>
  <c r="J10" i="8" s="1"/>
  <c r="K31" i="14"/>
  <c r="L31"/>
  <c r="L10" i="8" s="1"/>
  <c r="M31" i="14"/>
  <c r="B31"/>
  <c r="C10"/>
  <c r="C15" s="1"/>
  <c r="D10"/>
  <c r="E10"/>
  <c r="E15" s="1"/>
  <c r="F10"/>
  <c r="G10"/>
  <c r="G15" s="1"/>
  <c r="H10"/>
  <c r="I10"/>
  <c r="J10"/>
  <c r="K10"/>
  <c r="L10"/>
  <c r="D11"/>
  <c r="E11"/>
  <c r="F11"/>
  <c r="G11"/>
  <c r="H11"/>
  <c r="I11"/>
  <c r="J11"/>
  <c r="K11"/>
  <c r="L11"/>
  <c r="F12"/>
  <c r="G12"/>
  <c r="H12" s="1"/>
  <c r="E13"/>
  <c r="F13" s="1"/>
  <c r="F15" s="1"/>
  <c r="G13"/>
  <c r="I13"/>
  <c r="K13"/>
  <c r="B15"/>
  <c r="D15"/>
  <c r="M15"/>
  <c r="L20"/>
  <c r="L25" s="1"/>
  <c r="L21"/>
  <c r="L22"/>
  <c r="L23"/>
  <c r="M23"/>
  <c r="B25"/>
  <c r="C25"/>
  <c r="D25"/>
  <c r="E25"/>
  <c r="F25"/>
  <c r="G25"/>
  <c r="H25"/>
  <c r="I25"/>
  <c r="J25"/>
  <c r="K25"/>
  <c r="M25"/>
  <c r="B39"/>
  <c r="C39"/>
  <c r="D39"/>
  <c r="E39"/>
  <c r="F39"/>
  <c r="G39"/>
  <c r="H39"/>
  <c r="I39"/>
  <c r="J39"/>
  <c r="K39"/>
  <c r="L39"/>
  <c r="M39"/>
  <c r="M48"/>
  <c r="C48" s="1"/>
  <c r="C50" s="1"/>
  <c r="C55"/>
  <c r="D55"/>
  <c r="H55"/>
  <c r="I55"/>
  <c r="J55" s="1"/>
  <c r="J56" s="1"/>
  <c r="B56"/>
  <c r="C56"/>
  <c r="D56"/>
  <c r="E56"/>
  <c r="F56"/>
  <c r="G56"/>
  <c r="H56"/>
  <c r="K56"/>
  <c r="L56"/>
  <c r="M56"/>
  <c r="L58"/>
  <c r="C63"/>
  <c r="D63"/>
  <c r="D65" s="1"/>
  <c r="D66" s="1"/>
  <c r="D34" i="4" s="1"/>
  <c r="H63" i="14"/>
  <c r="I63"/>
  <c r="J63" s="1"/>
  <c r="J65" s="1"/>
  <c r="J66" s="1"/>
  <c r="J34" i="4" s="1"/>
  <c r="J44" i="8" s="1"/>
  <c r="J46" s="1"/>
  <c r="M63" i="14"/>
  <c r="B65"/>
  <c r="B66" s="1"/>
  <c r="C65"/>
  <c r="E65"/>
  <c r="E66" s="1"/>
  <c r="E34" i="4" s="1"/>
  <c r="E44" i="8" s="1"/>
  <c r="E46" s="1"/>
  <c r="F65" i="14"/>
  <c r="F66" s="1"/>
  <c r="F34" i="4" s="1"/>
  <c r="G65" i="14"/>
  <c r="G66" s="1"/>
  <c r="G34" i="4" s="1"/>
  <c r="G44" i="8" s="1"/>
  <c r="G46" s="1"/>
  <c r="H65" i="14"/>
  <c r="H66" s="1"/>
  <c r="H34" i="4" s="1"/>
  <c r="H44" i="8" s="1"/>
  <c r="H46" s="1"/>
  <c r="I65" i="14"/>
  <c r="I66" s="1"/>
  <c r="I34" i="4" s="1"/>
  <c r="I44" i="8" s="1"/>
  <c r="I46" s="1"/>
  <c r="K65" i="14"/>
  <c r="K66" s="1"/>
  <c r="K34" i="4" s="1"/>
  <c r="K44" i="8" s="1"/>
  <c r="K46" s="1"/>
  <c r="L65" i="14"/>
  <c r="L66" s="1"/>
  <c r="L34" i="4" s="1"/>
  <c r="L44" i="8" s="1"/>
  <c r="L46" s="1"/>
  <c r="M65" i="14"/>
  <c r="M66" s="1"/>
  <c r="B12" i="5"/>
  <c r="C12" s="1"/>
  <c r="B10"/>
  <c r="B41"/>
  <c r="C41" s="1"/>
  <c r="D12"/>
  <c r="F12"/>
  <c r="H12"/>
  <c r="J12"/>
  <c r="L12"/>
  <c r="D11"/>
  <c r="F11"/>
  <c r="H11"/>
  <c r="D10"/>
  <c r="F10"/>
  <c r="H10"/>
  <c r="J10"/>
  <c r="L10"/>
  <c r="C35" i="13"/>
  <c r="D35"/>
  <c r="D12" i="7" s="1"/>
  <c r="E35" i="13"/>
  <c r="E12" i="7" s="1"/>
  <c r="F35" i="13"/>
  <c r="F12" i="7" s="1"/>
  <c r="G35" i="13"/>
  <c r="G12" i="7" s="1"/>
  <c r="H35" i="13"/>
  <c r="H12" i="7" s="1"/>
  <c r="I35" i="13"/>
  <c r="I12" i="7" s="1"/>
  <c r="J35" i="13"/>
  <c r="J12" i="7" s="1"/>
  <c r="K35" i="13"/>
  <c r="K12" i="7" s="1"/>
  <c r="L35" i="13"/>
  <c r="L12" i="7" s="1"/>
  <c r="M35" i="13"/>
  <c r="B35"/>
  <c r="J33"/>
  <c r="J11" i="7" s="1"/>
  <c r="K33" i="13"/>
  <c r="K11" i="7" s="1"/>
  <c r="L33" i="13"/>
  <c r="L11" i="7" s="1"/>
  <c r="M33" i="13"/>
  <c r="C33"/>
  <c r="C11" i="7" s="1"/>
  <c r="D33" i="13"/>
  <c r="D11" i="7" s="1"/>
  <c r="E33" i="13"/>
  <c r="E11" i="7" s="1"/>
  <c r="F33" i="13"/>
  <c r="F11" i="7" s="1"/>
  <c r="G33" i="13"/>
  <c r="G11" i="7" s="1"/>
  <c r="H33" i="13"/>
  <c r="H11" i="7" s="1"/>
  <c r="I33" i="13"/>
  <c r="I11" i="7" s="1"/>
  <c r="B33" i="13"/>
  <c r="B11" i="7" s="1"/>
  <c r="C31" i="13"/>
  <c r="C10" i="7" s="1"/>
  <c r="D31" i="13"/>
  <c r="D10" i="7" s="1"/>
  <c r="E31" i="13"/>
  <c r="E10" i="7" s="1"/>
  <c r="F31" i="13"/>
  <c r="F10" i="7" s="1"/>
  <c r="G31" i="13"/>
  <c r="G10" i="7" s="1"/>
  <c r="H31" i="13"/>
  <c r="H10" i="7" s="1"/>
  <c r="I31" i="13"/>
  <c r="I10" i="7" s="1"/>
  <c r="J31" i="13"/>
  <c r="J10" i="7" s="1"/>
  <c r="K31" i="13"/>
  <c r="K10" i="7" s="1"/>
  <c r="L31" i="13"/>
  <c r="L10" i="7" s="1"/>
  <c r="M31" i="13"/>
  <c r="B31"/>
  <c r="C10"/>
  <c r="D10"/>
  <c r="E10"/>
  <c r="F10"/>
  <c r="G10"/>
  <c r="H10"/>
  <c r="I10"/>
  <c r="J10"/>
  <c r="K10"/>
  <c r="L10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D13"/>
  <c r="D15" s="1"/>
  <c r="E13"/>
  <c r="F13"/>
  <c r="F15" s="1"/>
  <c r="G13"/>
  <c r="H13"/>
  <c r="H15" s="1"/>
  <c r="I13"/>
  <c r="J13"/>
  <c r="J15" s="1"/>
  <c r="K13"/>
  <c r="L13"/>
  <c r="L15" s="1"/>
  <c r="B15"/>
  <c r="C15"/>
  <c r="E15"/>
  <c r="G15"/>
  <c r="I15"/>
  <c r="K15"/>
  <c r="M15"/>
  <c r="L20"/>
  <c r="L21"/>
  <c r="L25" s="1"/>
  <c r="L22"/>
  <c r="G23"/>
  <c r="H23"/>
  <c r="I23"/>
  <c r="K23"/>
  <c r="L23"/>
  <c r="B25"/>
  <c r="C25"/>
  <c r="D25"/>
  <c r="E25"/>
  <c r="F25"/>
  <c r="G25"/>
  <c r="H25"/>
  <c r="I25"/>
  <c r="J25"/>
  <c r="K25"/>
  <c r="M25"/>
  <c r="G36"/>
  <c r="H36"/>
  <c r="H37" s="1"/>
  <c r="I36"/>
  <c r="K36"/>
  <c r="K37" s="1"/>
  <c r="L36"/>
  <c r="L37" s="1"/>
  <c r="M36"/>
  <c r="C37" s="1"/>
  <c r="B48"/>
  <c r="M48"/>
  <c r="C48" s="1"/>
  <c r="C50" s="1"/>
  <c r="D48"/>
  <c r="F48"/>
  <c r="H48"/>
  <c r="J48"/>
  <c r="L48"/>
  <c r="D50"/>
  <c r="F50"/>
  <c r="H50"/>
  <c r="J50"/>
  <c r="L50"/>
  <c r="B55"/>
  <c r="D55"/>
  <c r="E55" s="1"/>
  <c r="H55"/>
  <c r="I55"/>
  <c r="J55" s="1"/>
  <c r="J56" s="1"/>
  <c r="B56"/>
  <c r="C56"/>
  <c r="D56"/>
  <c r="G56"/>
  <c r="H56"/>
  <c r="K56"/>
  <c r="M56"/>
  <c r="L56" s="1"/>
  <c r="L58" s="1"/>
  <c r="B63"/>
  <c r="D63"/>
  <c r="E63" s="1"/>
  <c r="H63"/>
  <c r="I63"/>
  <c r="J63" s="1"/>
  <c r="J65" s="1"/>
  <c r="J66" s="1"/>
  <c r="M63"/>
  <c r="B65"/>
  <c r="B66" s="1"/>
  <c r="C65"/>
  <c r="C66" s="1"/>
  <c r="G65"/>
  <c r="G66" s="1"/>
  <c r="H65"/>
  <c r="H66" s="1"/>
  <c r="I65"/>
  <c r="I66" s="1"/>
  <c r="K65"/>
  <c r="K66" s="1"/>
  <c r="L65"/>
  <c r="L66" s="1"/>
  <c r="M65"/>
  <c r="M66" s="1"/>
  <c r="M33" i="10"/>
  <c r="M59" i="12"/>
  <c r="M60" s="1"/>
  <c r="M59" i="11"/>
  <c r="M60" s="1"/>
  <c r="M59" i="10"/>
  <c r="M60" s="1"/>
  <c r="L60" i="12"/>
  <c r="L60" i="11"/>
  <c r="L60" i="10"/>
  <c r="L33"/>
  <c r="L21" i="11"/>
  <c r="K52" i="12"/>
  <c r="L52" s="1"/>
  <c r="L54" s="1"/>
  <c r="H51"/>
  <c r="I51"/>
  <c r="J51" s="1"/>
  <c r="J52" s="1"/>
  <c r="H52"/>
  <c r="K60"/>
  <c r="L22"/>
  <c r="L21"/>
  <c r="L23"/>
  <c r="K25"/>
  <c r="J25"/>
  <c r="I25"/>
  <c r="H25"/>
  <c r="M23" i="11"/>
  <c r="M25"/>
  <c r="L20"/>
  <c r="L22"/>
  <c r="L23"/>
  <c r="L25"/>
  <c r="K25"/>
  <c r="J25"/>
  <c r="I25"/>
  <c r="H25"/>
  <c r="K35"/>
  <c r="M52"/>
  <c r="L52" s="1"/>
  <c r="L54" s="1"/>
  <c r="K52"/>
  <c r="H51"/>
  <c r="I51" s="1"/>
  <c r="K60"/>
  <c r="K25" i="8"/>
  <c r="J25"/>
  <c r="I25"/>
  <c r="H25"/>
  <c r="K52" i="10"/>
  <c r="H51"/>
  <c r="I51" s="1"/>
  <c r="K60"/>
  <c r="L22"/>
  <c r="L21"/>
  <c r="K23"/>
  <c r="K25"/>
  <c r="J25"/>
  <c r="I23"/>
  <c r="I25" s="1"/>
  <c r="H23"/>
  <c r="H25" s="1"/>
  <c r="K33"/>
  <c r="C10" i="12"/>
  <c r="D10"/>
  <c r="E10"/>
  <c r="F10"/>
  <c r="G10"/>
  <c r="H10"/>
  <c r="I10"/>
  <c r="J10"/>
  <c r="K10"/>
  <c r="L10"/>
  <c r="C11"/>
  <c r="D11"/>
  <c r="E11" s="1"/>
  <c r="D12"/>
  <c r="E12"/>
  <c r="F12"/>
  <c r="G12"/>
  <c r="H12"/>
  <c r="I12"/>
  <c r="J12"/>
  <c r="K12"/>
  <c r="L12"/>
  <c r="E13"/>
  <c r="F13"/>
  <c r="G13"/>
  <c r="H13"/>
  <c r="I13"/>
  <c r="J13"/>
  <c r="K13"/>
  <c r="L13"/>
  <c r="B15"/>
  <c r="C15"/>
  <c r="D15"/>
  <c r="M15"/>
  <c r="L20"/>
  <c r="L25" s="1"/>
  <c r="B25"/>
  <c r="C25"/>
  <c r="D25"/>
  <c r="E25"/>
  <c r="F25"/>
  <c r="G25"/>
  <c r="M25"/>
  <c r="B35"/>
  <c r="C35"/>
  <c r="D35"/>
  <c r="E35"/>
  <c r="F35"/>
  <c r="G35"/>
  <c r="H35"/>
  <c r="I35"/>
  <c r="J35"/>
  <c r="K35"/>
  <c r="L35"/>
  <c r="M35"/>
  <c r="C44"/>
  <c r="D44"/>
  <c r="D46" s="1"/>
  <c r="E44"/>
  <c r="F44"/>
  <c r="F46" s="1"/>
  <c r="G44"/>
  <c r="H44"/>
  <c r="H46" s="1"/>
  <c r="I44"/>
  <c r="J44"/>
  <c r="J46" s="1"/>
  <c r="K44"/>
  <c r="L44"/>
  <c r="L46" s="1"/>
  <c r="M44"/>
  <c r="C46"/>
  <c r="E46"/>
  <c r="G46"/>
  <c r="I46"/>
  <c r="K46"/>
  <c r="B51"/>
  <c r="D51"/>
  <c r="E51"/>
  <c r="F51" s="1"/>
  <c r="F52" s="1"/>
  <c r="B52"/>
  <c r="C52"/>
  <c r="D52"/>
  <c r="G52"/>
  <c r="M52"/>
  <c r="B59"/>
  <c r="B43" s="1"/>
  <c r="D59"/>
  <c r="E59"/>
  <c r="F59" s="1"/>
  <c r="F60" s="1"/>
  <c r="H59"/>
  <c r="I59" s="1"/>
  <c r="C60"/>
  <c r="D60"/>
  <c r="E60"/>
  <c r="G60"/>
  <c r="C10" i="11"/>
  <c r="C15" s="1"/>
  <c r="D10"/>
  <c r="E10"/>
  <c r="E15" s="1"/>
  <c r="F10"/>
  <c r="G10"/>
  <c r="G15" s="1"/>
  <c r="H10"/>
  <c r="I10"/>
  <c r="J10"/>
  <c r="K10"/>
  <c r="L10"/>
  <c r="D11"/>
  <c r="E11"/>
  <c r="F11"/>
  <c r="G11"/>
  <c r="H11"/>
  <c r="I11"/>
  <c r="J11"/>
  <c r="K11"/>
  <c r="L11"/>
  <c r="F12"/>
  <c r="G12"/>
  <c r="H12" s="1"/>
  <c r="E13"/>
  <c r="F13" s="1"/>
  <c r="F15" s="1"/>
  <c r="G13"/>
  <c r="I13"/>
  <c r="K13"/>
  <c r="B15"/>
  <c r="D15"/>
  <c r="M15"/>
  <c r="B25"/>
  <c r="C25"/>
  <c r="D25"/>
  <c r="E25"/>
  <c r="F25"/>
  <c r="G25"/>
  <c r="B35"/>
  <c r="C35"/>
  <c r="D35"/>
  <c r="E35"/>
  <c r="F35"/>
  <c r="G35"/>
  <c r="H35"/>
  <c r="I35"/>
  <c r="J35"/>
  <c r="L35"/>
  <c r="M35"/>
  <c r="M44"/>
  <c r="C44" s="1"/>
  <c r="C46" s="1"/>
  <c r="C51"/>
  <c r="D51"/>
  <c r="D52" s="1"/>
  <c r="B52"/>
  <c r="C52"/>
  <c r="E52"/>
  <c r="F52"/>
  <c r="G52"/>
  <c r="C59"/>
  <c r="D59"/>
  <c r="H59"/>
  <c r="I59"/>
  <c r="J59" s="1"/>
  <c r="J60" s="1"/>
  <c r="B60"/>
  <c r="B44" s="1"/>
  <c r="C60"/>
  <c r="D60"/>
  <c r="E60"/>
  <c r="F60"/>
  <c r="G60"/>
  <c r="H60"/>
  <c r="C10" i="10"/>
  <c r="D10"/>
  <c r="E10"/>
  <c r="F10"/>
  <c r="G10"/>
  <c r="H10"/>
  <c r="I10"/>
  <c r="J10"/>
  <c r="K10"/>
  <c r="L10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D13"/>
  <c r="E13"/>
  <c r="E15" s="1"/>
  <c r="F13"/>
  <c r="G13"/>
  <c r="G15" s="1"/>
  <c r="H13"/>
  <c r="I13"/>
  <c r="I15" s="1"/>
  <c r="J13"/>
  <c r="K13"/>
  <c r="B15"/>
  <c r="C15"/>
  <c r="D15"/>
  <c r="F15"/>
  <c r="H15"/>
  <c r="J15"/>
  <c r="M15"/>
  <c r="L20"/>
  <c r="G23"/>
  <c r="L23"/>
  <c r="B25"/>
  <c r="C25"/>
  <c r="D25"/>
  <c r="E25"/>
  <c r="F25"/>
  <c r="G25"/>
  <c r="M25"/>
  <c r="G33"/>
  <c r="H33"/>
  <c r="I33"/>
  <c r="B35"/>
  <c r="C35"/>
  <c r="D35"/>
  <c r="E35"/>
  <c r="F35"/>
  <c r="G35"/>
  <c r="H35"/>
  <c r="I35"/>
  <c r="J35"/>
  <c r="K35"/>
  <c r="L35"/>
  <c r="M35"/>
  <c r="B44"/>
  <c r="D44"/>
  <c r="D46" s="1"/>
  <c r="F44"/>
  <c r="F46" s="1"/>
  <c r="H44"/>
  <c r="H46" s="1"/>
  <c r="J44"/>
  <c r="J46" s="1"/>
  <c r="L44"/>
  <c r="L46" s="1"/>
  <c r="M44"/>
  <c r="C44" s="1"/>
  <c r="C46"/>
  <c r="B51"/>
  <c r="D51"/>
  <c r="E51"/>
  <c r="B52"/>
  <c r="C52"/>
  <c r="D52"/>
  <c r="G52"/>
  <c r="M52"/>
  <c r="L52" s="1"/>
  <c r="L54"/>
  <c r="B59"/>
  <c r="D59"/>
  <c r="E59" s="1"/>
  <c r="E60" s="1"/>
  <c r="H59"/>
  <c r="I59"/>
  <c r="B60"/>
  <c r="C60"/>
  <c r="D60"/>
  <c r="G60"/>
  <c r="H60"/>
  <c r="I54" i="9"/>
  <c r="K54"/>
  <c r="L54"/>
  <c r="H25"/>
  <c r="I25"/>
  <c r="J25"/>
  <c r="K20"/>
  <c r="K25"/>
  <c r="L20"/>
  <c r="L25"/>
  <c r="L25" i="8"/>
  <c r="I23" i="7"/>
  <c r="J23" s="1"/>
  <c r="K23" s="1"/>
  <c r="L23" s="1"/>
  <c r="L25" s="1"/>
  <c r="M52"/>
  <c r="L52"/>
  <c r="L54" s="1"/>
  <c r="K52"/>
  <c r="J52"/>
  <c r="J54" s="1"/>
  <c r="I52"/>
  <c r="H52"/>
  <c r="H54" s="1"/>
  <c r="I54"/>
  <c r="K54"/>
  <c r="L22"/>
  <c r="K22"/>
  <c r="J22"/>
  <c r="I22"/>
  <c r="H20"/>
  <c r="H25"/>
  <c r="I21"/>
  <c r="I20"/>
  <c r="I25" s="1"/>
  <c r="J21"/>
  <c r="K21" s="1"/>
  <c r="J20"/>
  <c r="J25"/>
  <c r="K20"/>
  <c r="L21"/>
  <c r="L20"/>
  <c r="M25" i="9"/>
  <c r="G25"/>
  <c r="F25"/>
  <c r="E25"/>
  <c r="D25"/>
  <c r="C25"/>
  <c r="B25"/>
  <c r="M25" i="8"/>
  <c r="G25"/>
  <c r="F25"/>
  <c r="E25"/>
  <c r="D25"/>
  <c r="C25"/>
  <c r="B25"/>
  <c r="M25" i="7"/>
  <c r="G25"/>
  <c r="F25"/>
  <c r="E25"/>
  <c r="D25"/>
  <c r="C25"/>
  <c r="B25"/>
  <c r="B42" i="6"/>
  <c r="B34" s="1"/>
  <c r="B25"/>
  <c r="M34" i="5"/>
  <c r="B42"/>
  <c r="B34" s="1"/>
  <c r="M15" i="6"/>
  <c r="C25"/>
  <c r="D25"/>
  <c r="E25"/>
  <c r="F25"/>
  <c r="G25"/>
  <c r="H25"/>
  <c r="I25"/>
  <c r="J25"/>
  <c r="K25"/>
  <c r="L25"/>
  <c r="M25"/>
  <c r="M34"/>
  <c r="M15" i="5"/>
  <c r="B25"/>
  <c r="C25"/>
  <c r="D25"/>
  <c r="E25"/>
  <c r="F25"/>
  <c r="G25"/>
  <c r="H25"/>
  <c r="I25"/>
  <c r="J25"/>
  <c r="K25"/>
  <c r="L25"/>
  <c r="M25"/>
  <c r="M15" i="4"/>
  <c r="B25"/>
  <c r="C25"/>
  <c r="D25"/>
  <c r="E25"/>
  <c r="F25"/>
  <c r="G25"/>
  <c r="H25"/>
  <c r="I25"/>
  <c r="J25"/>
  <c r="K25"/>
  <c r="L25"/>
  <c r="M25"/>
  <c r="E36"/>
  <c r="G36"/>
  <c r="H36"/>
  <c r="I36"/>
  <c r="J36"/>
  <c r="K36"/>
  <c r="L36"/>
  <c r="C59" i="7"/>
  <c r="D59" s="1"/>
  <c r="B60"/>
  <c r="D54"/>
  <c r="E54"/>
  <c r="F54"/>
  <c r="E59" l="1"/>
  <c r="D60"/>
  <c r="B44" i="9"/>
  <c r="B46" s="1"/>
  <c r="B36" i="6"/>
  <c r="I12" i="11"/>
  <c r="J12" s="1"/>
  <c r="F11" i="12"/>
  <c r="E15"/>
  <c r="J51" i="11"/>
  <c r="J52" s="1"/>
  <c r="I52"/>
  <c r="F63" i="13"/>
  <c r="F65" s="1"/>
  <c r="F66" s="1"/>
  <c r="F34" i="5" s="1"/>
  <c r="E65" i="13"/>
  <c r="E66" s="1"/>
  <c r="E34" i="5" s="1"/>
  <c r="L13" i="7"/>
  <c r="L13" i="5"/>
  <c r="D44" i="8"/>
  <c r="D46" s="1"/>
  <c r="D36" i="4"/>
  <c r="L25" i="10"/>
  <c r="I15" i="11"/>
  <c r="L34" i="5"/>
  <c r="I34"/>
  <c r="G34"/>
  <c r="J34"/>
  <c r="B44" i="7"/>
  <c r="B46" s="1"/>
  <c r="B36" i="5"/>
  <c r="J59" i="10"/>
  <c r="J60" s="1"/>
  <c r="I60"/>
  <c r="F51"/>
  <c r="F52" s="1"/>
  <c r="E52"/>
  <c r="L13"/>
  <c r="L15" s="1"/>
  <c r="K15"/>
  <c r="J59" i="12"/>
  <c r="J60" s="1"/>
  <c r="I60"/>
  <c r="J51" i="10"/>
  <c r="J52" s="1"/>
  <c r="I52"/>
  <c r="F55" i="13"/>
  <c r="F56" s="1"/>
  <c r="E56"/>
  <c r="C13" i="7"/>
  <c r="C39" i="13"/>
  <c r="C13" i="5"/>
  <c r="K13" i="7"/>
  <c r="K39" i="13"/>
  <c r="K13" i="5"/>
  <c r="H13" i="7"/>
  <c r="H13" i="5"/>
  <c r="H15" s="1"/>
  <c r="F44" i="8"/>
  <c r="F46" s="1"/>
  <c r="F36" i="4"/>
  <c r="I12" i="14"/>
  <c r="J12" s="1"/>
  <c r="C60" i="7"/>
  <c r="K25"/>
  <c r="F59" i="10"/>
  <c r="F60" s="1"/>
  <c r="K34" i="5"/>
  <c r="H34"/>
  <c r="C34"/>
  <c r="L11" i="8"/>
  <c r="L11" i="4"/>
  <c r="J11" i="8"/>
  <c r="J11" i="4"/>
  <c r="H11"/>
  <c r="H11" i="8"/>
  <c r="F11" i="4"/>
  <c r="F11" i="8"/>
  <c r="D11" i="4"/>
  <c r="D11" i="8"/>
  <c r="B12"/>
  <c r="B12" i="4"/>
  <c r="L12"/>
  <c r="L12" i="8"/>
  <c r="J12" i="4"/>
  <c r="J12" i="8"/>
  <c r="H12"/>
  <c r="H12" i="4"/>
  <c r="F12" i="8"/>
  <c r="F12" i="4"/>
  <c r="D12" i="8"/>
  <c r="D12" i="4"/>
  <c r="L13" i="8"/>
  <c r="L13" i="4"/>
  <c r="J13" i="8"/>
  <c r="J13" i="4"/>
  <c r="H13"/>
  <c r="H13" i="8"/>
  <c r="F13" i="4"/>
  <c r="F13" i="8"/>
  <c r="D13" i="4"/>
  <c r="D13" i="8"/>
  <c r="C41" i="4"/>
  <c r="B42"/>
  <c r="B34" s="1"/>
  <c r="B36" s="1"/>
  <c r="E63" i="15"/>
  <c r="D65"/>
  <c r="D66" s="1"/>
  <c r="D34" i="6" s="1"/>
  <c r="E15" i="15"/>
  <c r="F11"/>
  <c r="G59" i="9"/>
  <c r="F51"/>
  <c r="F54" s="1"/>
  <c r="F62"/>
  <c r="K44" i="10"/>
  <c r="K46" s="1"/>
  <c r="I44"/>
  <c r="I46" s="1"/>
  <c r="G44"/>
  <c r="G46" s="1"/>
  <c r="E44"/>
  <c r="E46" s="1"/>
  <c r="I60" i="11"/>
  <c r="D44"/>
  <c r="D46" s="1"/>
  <c r="L13"/>
  <c r="J13"/>
  <c r="H13"/>
  <c r="H15" s="1"/>
  <c r="H60" i="12"/>
  <c r="B60"/>
  <c r="B44" s="1"/>
  <c r="E52"/>
  <c r="H52" i="10"/>
  <c r="H52" i="11"/>
  <c r="I52" i="12"/>
  <c r="D65" i="13"/>
  <c r="D66" s="1"/>
  <c r="D34" i="5" s="1"/>
  <c r="I56" i="13"/>
  <c r="K48"/>
  <c r="K50" s="1"/>
  <c r="I48"/>
  <c r="I50" s="1"/>
  <c r="G48"/>
  <c r="G50" s="1"/>
  <c r="E48"/>
  <c r="E50" s="1"/>
  <c r="L39"/>
  <c r="H39"/>
  <c r="L15" i="7"/>
  <c r="H15"/>
  <c r="B37" i="13"/>
  <c r="J37"/>
  <c r="F37"/>
  <c r="D37"/>
  <c r="C10" i="5"/>
  <c r="K10"/>
  <c r="I10"/>
  <c r="G10"/>
  <c r="E10"/>
  <c r="B11"/>
  <c r="K11"/>
  <c r="I11"/>
  <c r="G11"/>
  <c r="E11"/>
  <c r="C11"/>
  <c r="K12"/>
  <c r="I12"/>
  <c r="G12"/>
  <c r="E12"/>
  <c r="I56" i="14"/>
  <c r="D48"/>
  <c r="D50" s="1"/>
  <c r="B48"/>
  <c r="L13"/>
  <c r="J13"/>
  <c r="H13"/>
  <c r="H15" s="1"/>
  <c r="L15" i="8"/>
  <c r="J15"/>
  <c r="H15"/>
  <c r="F15"/>
  <c r="D15"/>
  <c r="B15"/>
  <c r="J10" i="4"/>
  <c r="J15" s="1"/>
  <c r="F10"/>
  <c r="F15" s="1"/>
  <c r="B11"/>
  <c r="B15" s="1"/>
  <c r="K13"/>
  <c r="G13"/>
  <c r="C13"/>
  <c r="I12"/>
  <c r="E12"/>
  <c r="K11"/>
  <c r="G11"/>
  <c r="C11"/>
  <c r="L66" i="15"/>
  <c r="L34" i="6" s="1"/>
  <c r="I65" i="15"/>
  <c r="I66" s="1"/>
  <c r="I34" i="6" s="1"/>
  <c r="G66" i="15"/>
  <c r="G34" i="6" s="1"/>
  <c r="C66" i="15"/>
  <c r="C34" i="6" s="1"/>
  <c r="B15" i="9"/>
  <c r="C42" i="5"/>
  <c r="D41"/>
  <c r="K10" i="8"/>
  <c r="K15" s="1"/>
  <c r="K10" i="4"/>
  <c r="I10" i="8"/>
  <c r="I15" s="1"/>
  <c r="I10" i="4"/>
  <c r="G10"/>
  <c r="G10" i="8"/>
  <c r="G15" s="1"/>
  <c r="E10" i="4"/>
  <c r="E10" i="8"/>
  <c r="E15" s="1"/>
  <c r="C10" i="4"/>
  <c r="C10" i="8"/>
  <c r="C15" s="1"/>
  <c r="J55" i="15"/>
  <c r="J56" s="1"/>
  <c r="I56"/>
  <c r="E44" i="11"/>
  <c r="K15" i="7"/>
  <c r="C15"/>
  <c r="M37" i="13"/>
  <c r="M39" s="1"/>
  <c r="I37"/>
  <c r="G37"/>
  <c r="E37"/>
  <c r="L11" i="5"/>
  <c r="L15" s="1"/>
  <c r="J11"/>
  <c r="C66" i="14"/>
  <c r="C34" i="4" s="1"/>
  <c r="E48" i="14"/>
  <c r="I13" i="4"/>
  <c r="E13"/>
  <c r="K12"/>
  <c r="G12"/>
  <c r="C12"/>
  <c r="I11"/>
  <c r="E11"/>
  <c r="K66" i="15"/>
  <c r="K34" i="6" s="1"/>
  <c r="H66" i="15"/>
  <c r="H34" i="6" s="1"/>
  <c r="J66" i="15"/>
  <c r="J34" i="6" s="1"/>
  <c r="B66" i="15"/>
  <c r="B13" i="6"/>
  <c r="K11"/>
  <c r="K15" s="1"/>
  <c r="I11"/>
  <c r="I15" s="1"/>
  <c r="G11"/>
  <c r="G15" s="1"/>
  <c r="E11"/>
  <c r="E15" s="1"/>
  <c r="C11"/>
  <c r="C15" s="1"/>
  <c r="D41"/>
  <c r="D13" i="9"/>
  <c r="D11"/>
  <c r="D15" s="1"/>
  <c r="F13"/>
  <c r="F11"/>
  <c r="F15" s="1"/>
  <c r="H13"/>
  <c r="H11"/>
  <c r="H15" s="1"/>
  <c r="J13"/>
  <c r="J11"/>
  <c r="J15" s="1"/>
  <c r="L13"/>
  <c r="L11"/>
  <c r="L15" s="1"/>
  <c r="E62"/>
  <c r="E51"/>
  <c r="E54" s="1"/>
  <c r="L10" i="6"/>
  <c r="J10"/>
  <c r="H10"/>
  <c r="F10"/>
  <c r="D10"/>
  <c r="B12"/>
  <c r="B15" s="1"/>
  <c r="L12"/>
  <c r="J12"/>
  <c r="H12"/>
  <c r="F12"/>
  <c r="D12"/>
  <c r="D59" i="8"/>
  <c r="C62"/>
  <c r="D62" i="9"/>
  <c r="K52" i="8"/>
  <c r="K54" s="1"/>
  <c r="J52"/>
  <c r="J54" s="1"/>
  <c r="I52"/>
  <c r="I54" s="1"/>
  <c r="H52" i="9"/>
  <c r="H54" s="1"/>
  <c r="J52"/>
  <c r="J54" s="1"/>
  <c r="G15" i="4" l="1"/>
  <c r="D51" i="8"/>
  <c r="D54" s="1"/>
  <c r="D62"/>
  <c r="E59"/>
  <c r="D42" i="6"/>
  <c r="E41"/>
  <c r="H44" i="9"/>
  <c r="H46" s="1"/>
  <c r="H36" i="6"/>
  <c r="J44" i="9"/>
  <c r="J46" s="1"/>
  <c r="J36" i="6"/>
  <c r="K44" i="9"/>
  <c r="K46" s="1"/>
  <c r="K36" i="6"/>
  <c r="F48" i="14"/>
  <c r="E50"/>
  <c r="E13" i="7"/>
  <c r="E15" s="1"/>
  <c r="E39" i="13"/>
  <c r="E13" i="5"/>
  <c r="I13" i="7"/>
  <c r="I15" s="1"/>
  <c r="I39" i="13"/>
  <c r="I13" i="5"/>
  <c r="D42"/>
  <c r="E41"/>
  <c r="C44" i="9"/>
  <c r="C46" s="1"/>
  <c r="C36" i="6"/>
  <c r="I44" i="9"/>
  <c r="I46" s="1"/>
  <c r="I36" i="6"/>
  <c r="D13" i="7"/>
  <c r="D15" s="1"/>
  <c r="D13" i="5"/>
  <c r="D15" s="1"/>
  <c r="D39" i="13"/>
  <c r="J13" i="7"/>
  <c r="J15" s="1"/>
  <c r="J13" i="5"/>
  <c r="G11" i="15"/>
  <c r="F15"/>
  <c r="D44" i="9"/>
  <c r="D46" s="1"/>
  <c r="D36" i="6"/>
  <c r="C44" i="7"/>
  <c r="C46" s="1"/>
  <c r="C36" i="5"/>
  <c r="K44" i="7"/>
  <c r="K46" s="1"/>
  <c r="K36" i="5"/>
  <c r="J44" i="7"/>
  <c r="J46" s="1"/>
  <c r="J36" i="5"/>
  <c r="I44" i="7"/>
  <c r="I46" s="1"/>
  <c r="I36" i="5"/>
  <c r="F44" i="7"/>
  <c r="F46" s="1"/>
  <c r="F36" i="5"/>
  <c r="F15" i="12"/>
  <c r="G11"/>
  <c r="K12" i="11"/>
  <c r="J15"/>
  <c r="F59" i="7"/>
  <c r="E60"/>
  <c r="F15" i="6"/>
  <c r="J15"/>
  <c r="D15"/>
  <c r="H15"/>
  <c r="L15"/>
  <c r="J15" i="5"/>
  <c r="I15" i="4"/>
  <c r="K15"/>
  <c r="G15" i="5"/>
  <c r="K15"/>
  <c r="J39" i="13"/>
  <c r="L15" i="4"/>
  <c r="I15" i="14"/>
  <c r="C44" i="8"/>
  <c r="C46" s="1"/>
  <c r="C36" i="4"/>
  <c r="G13" i="7"/>
  <c r="G15" s="1"/>
  <c r="G39" i="13"/>
  <c r="G13" i="5"/>
  <c r="F44" i="11"/>
  <c r="E46"/>
  <c r="G44" i="9"/>
  <c r="G46" s="1"/>
  <c r="G36" i="6"/>
  <c r="L44" i="9"/>
  <c r="L46" s="1"/>
  <c r="L36" i="6"/>
  <c r="F13" i="7"/>
  <c r="F15" s="1"/>
  <c r="F13" i="5"/>
  <c r="F15" s="1"/>
  <c r="F39" i="13"/>
  <c r="B13" i="7"/>
  <c r="B15" s="1"/>
  <c r="B13" i="5"/>
  <c r="B15" s="1"/>
  <c r="B39" i="13"/>
  <c r="D44" i="7"/>
  <c r="D46" s="1"/>
  <c r="D36" i="5"/>
  <c r="H59" i="9"/>
  <c r="H60" s="1"/>
  <c r="G60"/>
  <c r="G52" s="1"/>
  <c r="G51"/>
  <c r="G54" s="1"/>
  <c r="F63" i="15"/>
  <c r="F65" s="1"/>
  <c r="F66" s="1"/>
  <c r="F34" i="6" s="1"/>
  <c r="E65" i="15"/>
  <c r="E66" s="1"/>
  <c r="E34" i="6" s="1"/>
  <c r="D41" i="4"/>
  <c r="C42"/>
  <c r="H44" i="7"/>
  <c r="H46" s="1"/>
  <c r="H36" i="5"/>
  <c r="K12" i="14"/>
  <c r="J15"/>
  <c r="G44" i="7"/>
  <c r="G46" s="1"/>
  <c r="G36" i="5"/>
  <c r="L44" i="7"/>
  <c r="L46" s="1"/>
  <c r="L36" i="5"/>
  <c r="E44" i="7"/>
  <c r="E46" s="1"/>
  <c r="E36" i="5"/>
  <c r="C15" i="4"/>
  <c r="E15"/>
  <c r="E15" i="5"/>
  <c r="I15"/>
  <c r="C15"/>
  <c r="D15" i="4"/>
  <c r="H15"/>
  <c r="L12" i="14" l="1"/>
  <c r="L15" s="1"/>
  <c r="K15"/>
  <c r="D42" i="4"/>
  <c r="E41"/>
  <c r="F44" i="9"/>
  <c r="F46" s="1"/>
  <c r="F36" i="6"/>
  <c r="G59" i="7"/>
  <c r="F60"/>
  <c r="L12" i="11"/>
  <c r="L15" s="1"/>
  <c r="K15"/>
  <c r="G15" i="15"/>
  <c r="H11"/>
  <c r="E42" i="5"/>
  <c r="F41"/>
  <c r="F42" s="1"/>
  <c r="E42" i="6"/>
  <c r="F41"/>
  <c r="F42" s="1"/>
  <c r="E51" i="8"/>
  <c r="E54" s="1"/>
  <c r="E62"/>
  <c r="F59"/>
  <c r="E44" i="9"/>
  <c r="E46" s="1"/>
  <c r="E36" i="6"/>
  <c r="G44" i="11"/>
  <c r="F46"/>
  <c r="H11" i="12"/>
  <c r="G15"/>
  <c r="G48" i="14"/>
  <c r="F50"/>
  <c r="H48" l="1"/>
  <c r="G50"/>
  <c r="H15" i="12"/>
  <c r="I11"/>
  <c r="H44" i="11"/>
  <c r="G46"/>
  <c r="F51" i="8"/>
  <c r="F54" s="1"/>
  <c r="F62"/>
  <c r="H59" i="7"/>
  <c r="H60" s="1"/>
  <c r="G60"/>
  <c r="G52" s="1"/>
  <c r="G51"/>
  <c r="I11" i="15"/>
  <c r="H15"/>
  <c r="F41" i="4"/>
  <c r="F42" s="1"/>
  <c r="E42"/>
  <c r="I44" i="11" l="1"/>
  <c r="H46"/>
  <c r="I48" i="14"/>
  <c r="H50"/>
  <c r="G54" i="7"/>
  <c r="I15" i="15"/>
  <c r="J11"/>
  <c r="J11" i="12"/>
  <c r="I15"/>
  <c r="J15" l="1"/>
  <c r="K11"/>
  <c r="K11" i="15"/>
  <c r="J15"/>
  <c r="J48" i="14"/>
  <c r="I50"/>
  <c r="J44" i="11"/>
  <c r="I46"/>
  <c r="L11" i="12" l="1"/>
  <c r="L15" s="1"/>
  <c r="K15"/>
  <c r="K44" i="11"/>
  <c r="J46"/>
  <c r="K48" i="14"/>
  <c r="J50"/>
  <c r="K15" i="15"/>
  <c r="L11"/>
  <c r="L15" s="1"/>
  <c r="L48" i="14" l="1"/>
  <c r="L50" s="1"/>
  <c r="K50"/>
  <c r="L44" i="11"/>
  <c r="L46" s="1"/>
  <c r="K46"/>
</calcChain>
</file>

<file path=xl/sharedStrings.xml><?xml version="1.0" encoding="utf-8"?>
<sst xmlns="http://schemas.openxmlformats.org/spreadsheetml/2006/main" count="748" uniqueCount="37">
  <si>
    <t>VOCATIONAL EDUCATION FUND</t>
  </si>
  <si>
    <t>REVENUE:</t>
  </si>
  <si>
    <t xml:space="preserve">  Local</t>
  </si>
  <si>
    <t xml:space="preserve">  State</t>
  </si>
  <si>
    <t xml:space="preserve">  Federal</t>
  </si>
  <si>
    <t>TOTAL</t>
  </si>
  <si>
    <t>EXPENSES:</t>
  </si>
  <si>
    <t xml:space="preserve">   Payroll</t>
  </si>
  <si>
    <t xml:space="preserve">   Other</t>
  </si>
  <si>
    <t>PROJECTED FUND BALANCE: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</si>
  <si>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</si>
  <si>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</si>
  <si>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</si>
  <si>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</si>
  <si>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</si>
  <si>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</si>
  <si>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</si>
  <si>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</si>
  <si>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</si>
  <si>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</si>
  <si>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</si>
  <si>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</si>
  <si>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REVENUE</t>
  </si>
  <si>
    <t>EXPENDITURES</t>
  </si>
  <si>
    <t xml:space="preserve">       </t>
  </si>
  <si>
    <t xml:space="preserve">  Transfers &amp; Other</t>
  </si>
  <si>
    <t>SPECIAL EDUCATION FUND</t>
  </si>
  <si>
    <t xml:space="preserve">  State (11 Mos)</t>
  </si>
  <si>
    <t>GENERAL FUND</t>
  </si>
  <si>
    <t>2004-2005 PROJECTION (Original Budget)</t>
  </si>
  <si>
    <t>2004-2005 ACTUAL</t>
  </si>
  <si>
    <t>CUMULATIVE FUND ACTIVITY REPORT - FISCAL  2004-2005</t>
  </si>
  <si>
    <t>2004-2005 PROJECTION (4/30/05 Amended)</t>
  </si>
  <si>
    <t>2005-2006 PROJECTION (Original Budget)</t>
  </si>
  <si>
    <t>CUMULATIVE FUND ACTIVITY REPORT - FISCAL  2005-2006</t>
  </si>
  <si>
    <t>2005-2006 ACTUAL</t>
  </si>
  <si>
    <t>2005-2006 PROJECTION (12/31/05 Amended)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</si>
</sst>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15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4" fillId="0" borderId="0" xfId="2" applyNumberFormat="1" applyFont="1" applyBorder="1" applyProtection="1"/>
    <xf numFmtId="164" fontId="4" fillId="0" borderId="1" xfId="2" applyNumberFormat="1" applyFont="1" applyBorder="1" applyProtection="1"/>
    <xf numFmtId="164" fontId="4" fillId="0" borderId="2" xfId="2" applyNumberFormat="1" applyFont="1" applyBorder="1" applyProtection="1"/>
    <xf numFmtId="164" fontId="4" fillId="0" borderId="3" xfId="2" applyNumberFormat="1" applyFont="1" applyBorder="1" applyProtection="1"/>
    <xf numFmtId="37" fontId="4" fillId="0" borderId="0" xfId="4" applyFont="1" applyAlignment="1" applyProtection="1">
      <alignment horizontal="centerContinuous"/>
    </xf>
    <xf numFmtId="37" fontId="2" fillId="0" borderId="0" xfId="4" applyAlignment="1">
      <alignment horizontal="centerContinuous"/>
    </xf>
    <xf numFmtId="37" fontId="2" fillId="0" borderId="0" xfId="4"/>
    <xf numFmtId="37" fontId="6" fillId="0" borderId="0" xfId="4" applyFont="1" applyFill="1" applyAlignment="1" applyProtection="1">
      <alignment horizontal="centerContinuous"/>
    </xf>
    <xf numFmtId="37" fontId="4" fillId="0" borderId="0" xfId="4" applyFont="1" applyFill="1" applyAlignment="1" applyProtection="1">
      <alignment horizontal="centerContinuous"/>
    </xf>
    <xf numFmtId="37" fontId="7" fillId="0" borderId="0" xfId="4" applyFont="1" applyProtection="1"/>
    <xf numFmtId="37" fontId="8" fillId="0" borderId="0" xfId="4" applyFont="1" applyProtection="1"/>
    <xf numFmtId="37" fontId="2" fillId="0" borderId="0" xfId="4" applyProtection="1"/>
    <xf numFmtId="37" fontId="4" fillId="0" borderId="0" xfId="4" applyFont="1" applyProtection="1"/>
    <xf numFmtId="37" fontId="11" fillId="0" borderId="4" xfId="4" applyFont="1" applyBorder="1" applyProtection="1"/>
    <xf numFmtId="37" fontId="4" fillId="0" borderId="5" xfId="4" applyFont="1" applyBorder="1" applyAlignment="1" applyProtection="1">
      <alignment horizontal="center"/>
    </xf>
    <xf numFmtId="37" fontId="4" fillId="0" borderId="6" xfId="4" applyFont="1" applyBorder="1" applyAlignment="1" applyProtection="1">
      <alignment horizontal="center"/>
    </xf>
    <xf numFmtId="37" fontId="9" fillId="0" borderId="0" xfId="4" applyFont="1"/>
    <xf numFmtId="37" fontId="11" fillId="0" borderId="7" xfId="4" applyFont="1" applyBorder="1" applyProtection="1"/>
    <xf numFmtId="37" fontId="3" fillId="0" borderId="0" xfId="4" applyFont="1" applyBorder="1" applyProtection="1"/>
    <xf numFmtId="37" fontId="3" fillId="0" borderId="1" xfId="4" applyFont="1" applyBorder="1" applyProtection="1"/>
    <xf numFmtId="37" fontId="4" fillId="0" borderId="7" xfId="4" applyFont="1" applyBorder="1" applyProtection="1"/>
    <xf numFmtId="37" fontId="11" fillId="0" borderId="0" xfId="4" applyFont="1" applyBorder="1"/>
    <xf numFmtId="37" fontId="11" fillId="0" borderId="1" xfId="4" applyFont="1" applyBorder="1"/>
    <xf numFmtId="37" fontId="9" fillId="0" borderId="0" xfId="4" applyFont="1" applyBorder="1" applyProtection="1"/>
    <xf numFmtId="37" fontId="9" fillId="0" borderId="1" xfId="4" applyFont="1" applyBorder="1"/>
    <xf numFmtId="37" fontId="9" fillId="0" borderId="0" xfId="4" applyFont="1" applyBorder="1"/>
    <xf numFmtId="37" fontId="9" fillId="0" borderId="7" xfId="4" applyFont="1" applyBorder="1"/>
    <xf numFmtId="37" fontId="11" fillId="0" borderId="0" xfId="4" applyFont="1" applyBorder="1" applyProtection="1"/>
    <xf numFmtId="37" fontId="9" fillId="0" borderId="0" xfId="4" applyFont="1" applyFill="1" applyBorder="1" applyProtection="1"/>
    <xf numFmtId="37" fontId="9" fillId="0" borderId="1" xfId="4" applyFont="1" applyBorder="1" applyProtection="1"/>
    <xf numFmtId="37" fontId="9" fillId="0" borderId="0" xfId="4" applyFont="1" applyFill="1" applyBorder="1"/>
    <xf numFmtId="37" fontId="4" fillId="0" borderId="8" xfId="4" applyFont="1" applyBorder="1" applyProtection="1"/>
    <xf numFmtId="37" fontId="7" fillId="0" borderId="0" xfId="4" applyFont="1" applyBorder="1" applyProtection="1"/>
    <xf numFmtId="37" fontId="9" fillId="0" borderId="4" xfId="4" applyFont="1" applyBorder="1" applyProtection="1"/>
    <xf numFmtId="37" fontId="12" fillId="2" borderId="0" xfId="4" applyFont="1" applyFill="1" applyProtection="1"/>
    <xf numFmtId="5" fontId="4" fillId="0" borderId="0" xfId="4" applyNumberFormat="1" applyFont="1" applyProtection="1"/>
    <xf numFmtId="37" fontId="5" fillId="0" borderId="0" xfId="3" applyFont="1" applyAlignment="1" applyProtection="1">
      <alignment horizontal="centerContinuous"/>
    </xf>
    <xf numFmtId="37" fontId="4" fillId="0" borderId="0" xfId="3" applyFont="1" applyAlignment="1" applyProtection="1">
      <alignment horizontal="centerContinuous"/>
    </xf>
    <xf numFmtId="37" fontId="2" fillId="0" borderId="0" xfId="3" applyAlignment="1">
      <alignment horizontal="centerContinuous"/>
    </xf>
    <xf numFmtId="37" fontId="2" fillId="0" borderId="0" xfId="3"/>
    <xf numFmtId="37" fontId="6" fillId="0" borderId="0" xfId="3" applyFont="1" applyFill="1" applyAlignment="1" applyProtection="1">
      <alignment horizontal="centerContinuous"/>
    </xf>
    <xf numFmtId="37" fontId="7" fillId="0" borderId="0" xfId="3" applyFont="1" applyProtection="1"/>
    <xf numFmtId="37" fontId="8" fillId="0" borderId="0" xfId="3" applyFont="1" applyProtection="1"/>
    <xf numFmtId="37" fontId="2" fillId="0" borderId="0" xfId="3" applyProtection="1"/>
    <xf numFmtId="37" fontId="4" fillId="0" borderId="0" xfId="3" applyFont="1" applyProtection="1"/>
    <xf numFmtId="37" fontId="9" fillId="0" borderId="4" xfId="3" applyFont="1" applyBorder="1" applyProtection="1"/>
    <xf numFmtId="37" fontId="4" fillId="0" borderId="5" xfId="3" applyFont="1" applyBorder="1" applyAlignment="1" applyProtection="1">
      <alignment horizontal="center"/>
    </xf>
    <xf numFmtId="37" fontId="4" fillId="0" borderId="6" xfId="3" applyFont="1" applyBorder="1" applyAlignment="1" applyProtection="1">
      <alignment horizontal="center"/>
    </xf>
    <xf numFmtId="37" fontId="9" fillId="0" borderId="7" xfId="3" applyFont="1" applyBorder="1" applyProtection="1"/>
    <xf numFmtId="37" fontId="4" fillId="0" borderId="0" xfId="3" applyFont="1" applyBorder="1" applyProtection="1"/>
    <xf numFmtId="37" fontId="4" fillId="0" borderId="1" xfId="3" applyFont="1" applyBorder="1" applyProtection="1"/>
    <xf numFmtId="37" fontId="10" fillId="0" borderId="7" xfId="3" applyFont="1" applyBorder="1" applyProtection="1"/>
    <xf numFmtId="37" fontId="4" fillId="0" borderId="7" xfId="3" applyFont="1" applyBorder="1" applyProtection="1"/>
    <xf numFmtId="37" fontId="9" fillId="0" borderId="0" xfId="3" applyFont="1" applyBorder="1"/>
    <xf numFmtId="37" fontId="9" fillId="0" borderId="1" xfId="3" applyFont="1" applyBorder="1"/>
    <xf numFmtId="37" fontId="9" fillId="0" borderId="0" xfId="3" applyFont="1" applyBorder="1" applyProtection="1"/>
    <xf numFmtId="37" fontId="9" fillId="0" borderId="7" xfId="3" applyFont="1" applyBorder="1"/>
    <xf numFmtId="37" fontId="9" fillId="0" borderId="0" xfId="3" applyFont="1" applyFill="1" applyBorder="1" applyProtection="1"/>
    <xf numFmtId="37" fontId="9" fillId="0" borderId="1" xfId="3" applyFont="1" applyBorder="1" applyProtection="1"/>
    <xf numFmtId="37" fontId="9" fillId="0" borderId="0" xfId="3" applyFont="1" applyFill="1" applyBorder="1"/>
    <xf numFmtId="37" fontId="4" fillId="0" borderId="8" xfId="3" applyFont="1" applyBorder="1" applyProtection="1"/>
    <xf numFmtId="37" fontId="2" fillId="0" borderId="0" xfId="3" applyBorder="1"/>
    <xf numFmtId="37" fontId="7" fillId="0" borderId="0" xfId="3" applyFont="1" applyBorder="1" applyProtection="1"/>
    <xf numFmtId="10" fontId="4" fillId="0" borderId="0" xfId="6" applyNumberFormat="1" applyFont="1" applyProtection="1"/>
    <xf numFmtId="37" fontId="12" fillId="2" borderId="0" xfId="3" applyFont="1" applyFill="1" applyProtection="1"/>
    <xf numFmtId="5" fontId="4" fillId="0" borderId="0" xfId="3" applyNumberFormat="1" applyFont="1" applyProtection="1"/>
    <xf numFmtId="37" fontId="4" fillId="0" borderId="0" xfId="5" applyFont="1" applyAlignment="1" applyProtection="1">
      <alignment horizontal="centerContinuous"/>
    </xf>
    <xf numFmtId="37" fontId="2" fillId="0" borderId="0" xfId="5" applyAlignment="1">
      <alignment horizontal="centerContinuous"/>
    </xf>
    <xf numFmtId="37" fontId="2" fillId="0" borderId="0" xfId="5"/>
    <xf numFmtId="37" fontId="6" fillId="0" borderId="0" xfId="5" applyFont="1" applyFill="1" applyBorder="1" applyAlignment="1" applyProtection="1">
      <alignment horizontal="centerContinuous"/>
    </xf>
    <xf numFmtId="37" fontId="4" fillId="0" borderId="0" xfId="5" applyFont="1" applyFill="1" applyAlignment="1" applyProtection="1">
      <alignment horizontal="centerContinuous"/>
    </xf>
    <xf numFmtId="37" fontId="4" fillId="0" borderId="0" xfId="5" applyFont="1" applyFill="1" applyBorder="1" applyAlignment="1" applyProtection="1">
      <alignment horizontal="centerContinuous"/>
    </xf>
    <xf numFmtId="37" fontId="7" fillId="0" borderId="0" xfId="5" applyFont="1" applyProtection="1"/>
    <xf numFmtId="37" fontId="8" fillId="0" borderId="0" xfId="5" applyFont="1" applyProtection="1"/>
    <xf numFmtId="37" fontId="2" fillId="0" borderId="0" xfId="5" applyProtection="1"/>
    <xf numFmtId="37" fontId="4" fillId="0" borderId="0" xfId="5" applyFont="1" applyProtection="1"/>
    <xf numFmtId="37" fontId="9" fillId="0" borderId="4" xfId="5" applyFont="1" applyBorder="1" applyProtection="1"/>
    <xf numFmtId="37" fontId="4" fillId="0" borderId="5" xfId="5" applyFont="1" applyBorder="1" applyAlignment="1" applyProtection="1">
      <alignment horizontal="center"/>
    </xf>
    <xf numFmtId="37" fontId="4" fillId="0" borderId="6" xfId="5" applyFont="1" applyBorder="1" applyAlignment="1" applyProtection="1">
      <alignment horizontal="center"/>
    </xf>
    <xf numFmtId="37" fontId="9" fillId="0" borderId="7" xfId="5" applyFont="1" applyBorder="1" applyProtection="1"/>
    <xf numFmtId="37" fontId="4" fillId="0" borderId="0" xfId="5" applyFont="1" applyBorder="1" applyProtection="1"/>
    <xf numFmtId="37" fontId="4" fillId="0" borderId="1" xfId="5" applyFont="1" applyBorder="1" applyProtection="1"/>
    <xf numFmtId="37" fontId="10" fillId="0" borderId="7" xfId="5" applyFont="1" applyBorder="1" applyProtection="1"/>
    <xf numFmtId="37" fontId="4" fillId="0" borderId="7" xfId="5" applyFont="1" applyBorder="1" applyProtection="1"/>
    <xf numFmtId="37" fontId="9" fillId="0" borderId="0" xfId="5" applyFont="1" applyBorder="1"/>
    <xf numFmtId="37" fontId="9" fillId="0" borderId="1" xfId="5" applyFont="1" applyBorder="1"/>
    <xf numFmtId="37" fontId="9" fillId="0" borderId="0" xfId="5" applyFont="1" applyBorder="1" applyProtection="1"/>
    <xf numFmtId="37" fontId="9" fillId="0" borderId="7" xfId="5" applyFont="1" applyBorder="1"/>
    <xf numFmtId="37" fontId="9" fillId="0" borderId="0" xfId="5" applyFont="1" applyFill="1" applyBorder="1" applyProtection="1"/>
    <xf numFmtId="37" fontId="9" fillId="0" borderId="1" xfId="5" applyFont="1" applyBorder="1" applyProtection="1"/>
    <xf numFmtId="37" fontId="9" fillId="0" borderId="0" xfId="5" applyFont="1" applyFill="1" applyBorder="1"/>
    <xf numFmtId="37" fontId="4" fillId="0" borderId="8" xfId="5" applyFont="1" applyBorder="1" applyProtection="1"/>
    <xf numFmtId="37" fontId="11" fillId="0" borderId="0" xfId="5" applyFont="1" applyBorder="1"/>
    <xf numFmtId="37" fontId="11" fillId="0" borderId="0" xfId="5" applyFont="1" applyBorder="1" applyProtection="1"/>
    <xf numFmtId="37" fontId="3" fillId="0" borderId="0" xfId="5" applyFont="1" applyBorder="1" applyProtection="1"/>
    <xf numFmtId="37" fontId="7" fillId="0" borderId="0" xfId="5" applyFont="1" applyBorder="1" applyProtection="1"/>
    <xf numFmtId="37" fontId="12" fillId="2" borderId="0" xfId="5" applyFont="1" applyFill="1" applyProtection="1"/>
    <xf numFmtId="5" fontId="4" fillId="0" borderId="0" xfId="5" applyNumberFormat="1" applyFont="1" applyProtection="1"/>
    <xf numFmtId="37" fontId="9" fillId="0" borderId="0" xfId="3" applyFont="1" applyBorder="1" applyProtection="1">
      <protection locked="0"/>
    </xf>
    <xf numFmtId="164" fontId="4" fillId="0" borderId="0" xfId="2" applyNumberFormat="1" applyFont="1" applyBorder="1" applyProtection="1">
      <protection locked="0"/>
    </xf>
    <xf numFmtId="9" fontId="4" fillId="0" borderId="0" xfId="6" applyFont="1" applyBorder="1" applyProtection="1"/>
    <xf numFmtId="166" fontId="4" fillId="0" borderId="0" xfId="1" applyNumberFormat="1" applyFont="1" applyBorder="1" applyProtection="1"/>
    <xf numFmtId="9" fontId="4" fillId="0" borderId="0" xfId="6" applyFont="1" applyBorder="1" applyProtection="1">
      <protection locked="0"/>
    </xf>
    <xf numFmtId="9" fontId="4" fillId="0" borderId="1" xfId="6" applyFont="1" applyBorder="1" applyProtection="1"/>
    <xf numFmtId="9" fontId="3" fillId="0" borderId="0" xfId="6" applyFont="1" applyBorder="1" applyProtection="1"/>
    <xf numFmtId="9" fontId="9" fillId="0" borderId="0" xfId="6" applyFont="1" applyBorder="1"/>
    <xf numFmtId="9" fontId="9" fillId="0" borderId="1" xfId="6" applyFont="1" applyBorder="1"/>
    <xf numFmtId="9" fontId="14" fillId="0" borderId="0" xfId="6" applyFont="1" applyBorder="1" applyProtection="1"/>
    <xf numFmtId="37" fontId="4" fillId="0" borderId="0" xfId="4" applyFont="1"/>
    <xf numFmtId="43" fontId="4" fillId="0" borderId="0" xfId="1" applyFont="1" applyBorder="1" applyProtection="1"/>
    <xf numFmtId="9" fontId="2" fillId="0" borderId="0" xfId="6" applyFont="1"/>
  </cellXfs>
  <cellStyles count="7">
    <cellStyle name="Comma" xfId="1" builtinId="3"/>
    <cellStyle name="Currency" xfId="2" builtinId="4"/>
    <cellStyle name="Normal" xfId="0" builtinId="0"/>
    <cellStyle name="Normal_General Fund 03-04" xfId="3"/>
    <cellStyle name="Normal_Special 03-04" xfId="4"/>
    <cellStyle name="Normal_Vocational 03-04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655129789864027"/>
          <c:y val="6.00001302086159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833127317676142"/>
          <c:y val="0.23111161265540942"/>
          <c:w val="0.64894932014833129"/>
          <c:h val="0.6511125241157207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04-05 (Template)'!$B$43:$M$43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(Template)'!$B$50:$M$50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1357840.02</c:v>
                </c:pt>
                <c:pt idx="2">
                  <c:v>1851711.47</c:v>
                </c:pt>
                <c:pt idx="3">
                  <c:v>2667273.48</c:v>
                </c:pt>
                <c:pt idx="4">
                  <c:v>3260817.71</c:v>
                </c:pt>
                <c:pt idx="5">
                  <c:v>3804526.0500000003</c:v>
                </c:pt>
                <c:pt idx="6">
                  <c:v>4497742.0600000005</c:v>
                </c:pt>
                <c:pt idx="7">
                  <c:v>5190957.07</c:v>
                </c:pt>
                <c:pt idx="8">
                  <c:v>5734665.4100000001</c:v>
                </c:pt>
                <c:pt idx="9">
                  <c:v>6600063.3100000005</c:v>
                </c:pt>
                <c:pt idx="10">
                  <c:v>7442786.9900000002</c:v>
                </c:pt>
                <c:pt idx="11">
                  <c:v>8203230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04-05 (Template)'!$B$43:$M$43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(Template)'!$B$58:$M$58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1055532</c:v>
                </c:pt>
                <c:pt idx="2">
                  <c:v>1666336</c:v>
                </c:pt>
                <c:pt idx="3">
                  <c:v>2342832</c:v>
                </c:pt>
                <c:pt idx="4">
                  <c:v>2903168</c:v>
                </c:pt>
                <c:pt idx="5">
                  <c:v>3432829</c:v>
                </c:pt>
                <c:pt idx="6">
                  <c:v>3949881</c:v>
                </c:pt>
                <c:pt idx="7">
                  <c:v>4503488</c:v>
                </c:pt>
                <c:pt idx="8">
                  <c:v>5107478</c:v>
                </c:pt>
                <c:pt idx="9">
                  <c:v>5935834</c:v>
                </c:pt>
                <c:pt idx="10">
                  <c:v>6966531.4800000004</c:v>
                </c:pt>
                <c:pt idx="11">
                  <c:v>7934755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04-05 (Template)'!$B$43:$M$43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(Template)'!$B$68:$M$68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1055532</c:v>
                </c:pt>
                <c:pt idx="2">
                  <c:v>1666336</c:v>
                </c:pt>
                <c:pt idx="3">
                  <c:v>2342832</c:v>
                </c:pt>
                <c:pt idx="4">
                  <c:v>2903168</c:v>
                </c:pt>
                <c:pt idx="5">
                  <c:v>3432829</c:v>
                </c:pt>
                <c:pt idx="6">
                  <c:v>3949881</c:v>
                </c:pt>
                <c:pt idx="7">
                  <c:v>4503488</c:v>
                </c:pt>
                <c:pt idx="8">
                  <c:v>5107478</c:v>
                </c:pt>
                <c:pt idx="9">
                  <c:v>5935834</c:v>
                </c:pt>
                <c:pt idx="10">
                  <c:v>6612720</c:v>
                </c:pt>
                <c:pt idx="11">
                  <c:v>7385807</c:v>
                </c:pt>
              </c:numCache>
            </c:numRef>
          </c:val>
        </c:ser>
        <c:marker val="1"/>
        <c:axId val="103661568"/>
        <c:axId val="103663488"/>
      </c:lineChart>
      <c:catAx>
        <c:axId val="103661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3488"/>
        <c:crosses val="autoZero"/>
        <c:auto val="1"/>
        <c:lblAlgn val="ctr"/>
        <c:lblOffset val="100"/>
        <c:tickLblSkip val="1"/>
        <c:tickMarkSkip val="1"/>
      </c:catAx>
      <c:valAx>
        <c:axId val="103663488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1568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189122373300373"/>
          <c:y val="0.57777903163852351"/>
          <c:w val="0.14709517923362175"/>
          <c:h val="0.13777807677534024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25188000748943584"/>
          <c:y val="4.724421558249154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907283965876565"/>
          <c:y val="0.22309768469509897"/>
          <c:w val="0.69047703545611516"/>
          <c:h val="0.59317737342461607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(template)'!$B$50:$M$50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1003992.72</c:v>
                </c:pt>
                <c:pt idx="2">
                  <c:v>1794835.92</c:v>
                </c:pt>
                <c:pt idx="3">
                  <c:v>3018554.6399999997</c:v>
                </c:pt>
                <c:pt idx="4">
                  <c:v>3884304.68</c:v>
                </c:pt>
                <c:pt idx="5">
                  <c:v>6098377.8399999999</c:v>
                </c:pt>
                <c:pt idx="6">
                  <c:v>6964127.8799999999</c:v>
                </c:pt>
                <c:pt idx="7">
                  <c:v>7904784.7599999998</c:v>
                </c:pt>
                <c:pt idx="8">
                  <c:v>8845441.6400000006</c:v>
                </c:pt>
                <c:pt idx="9">
                  <c:v>10218974.039999999</c:v>
                </c:pt>
                <c:pt idx="10">
                  <c:v>11534165.120000001</c:v>
                </c:pt>
                <c:pt idx="11">
                  <c:v>17596224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(template)'!$B$58:$M$58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942463</c:v>
                </c:pt>
                <c:pt idx="2">
                  <c:v>1726534</c:v>
                </c:pt>
                <c:pt idx="3">
                  <c:v>2767641</c:v>
                </c:pt>
                <c:pt idx="4">
                  <c:v>3620672</c:v>
                </c:pt>
                <c:pt idx="5">
                  <c:v>5484313</c:v>
                </c:pt>
                <c:pt idx="6">
                  <c:v>6295586</c:v>
                </c:pt>
                <c:pt idx="7">
                  <c:v>7094091</c:v>
                </c:pt>
                <c:pt idx="8">
                  <c:v>7947451</c:v>
                </c:pt>
                <c:pt idx="9">
                  <c:v>9021633</c:v>
                </c:pt>
                <c:pt idx="10">
                  <c:v>10276215</c:v>
                </c:pt>
                <c:pt idx="11">
                  <c:v>16840066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(template)'!$B$68:$M$68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942463</c:v>
                </c:pt>
                <c:pt idx="2">
                  <c:v>1726534</c:v>
                </c:pt>
                <c:pt idx="3">
                  <c:v>2767641</c:v>
                </c:pt>
                <c:pt idx="4">
                  <c:v>3620672</c:v>
                </c:pt>
                <c:pt idx="5">
                  <c:v>5484313</c:v>
                </c:pt>
                <c:pt idx="6">
                  <c:v>6295586</c:v>
                </c:pt>
                <c:pt idx="7">
                  <c:v>7094091</c:v>
                </c:pt>
                <c:pt idx="8">
                  <c:v>7947451</c:v>
                </c:pt>
                <c:pt idx="9">
                  <c:v>9021633</c:v>
                </c:pt>
                <c:pt idx="10">
                  <c:v>10127718</c:v>
                </c:pt>
                <c:pt idx="11">
                  <c:v>11626816</c:v>
                </c:pt>
              </c:numCache>
            </c:numRef>
          </c:val>
        </c:ser>
        <c:marker val="1"/>
        <c:axId val="103488896"/>
        <c:axId val="103511552"/>
      </c:lineChart>
      <c:catAx>
        <c:axId val="103488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11552"/>
        <c:crosses val="autoZero"/>
        <c:auto val="1"/>
        <c:lblAlgn val="ctr"/>
        <c:lblOffset val="100"/>
        <c:tickLblSkip val="1"/>
        <c:tickMarkSkip val="1"/>
      </c:catAx>
      <c:valAx>
        <c:axId val="103511552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88896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86569679288159"/>
          <c:y val="0.43569665481631092"/>
          <c:w val="0.12656657092752746"/>
          <c:h val="0.1679794331821921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38313727712345"/>
          <c:y val="3.141365271910370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098780018783781"/>
          <c:y val="0.24345580857305374"/>
          <c:w val="0.73456878685472948"/>
          <c:h val="0.6439798807416260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(Original)'!$B$15:$M$15</c:f>
              <c:numCache>
                <c:formatCode>_("$"* #,##0_);_("$"* \(#,##0\);_("$"* "-"??_);_(@_)</c:formatCode>
                <c:ptCount val="12"/>
                <c:pt idx="0">
                  <c:v>15688</c:v>
                </c:pt>
                <c:pt idx="1">
                  <c:v>2207155.645901971</c:v>
                </c:pt>
                <c:pt idx="2">
                  <c:v>8450691.7082456145</c:v>
                </c:pt>
                <c:pt idx="3">
                  <c:v>9020881.3415269498</c:v>
                </c:pt>
                <c:pt idx="4">
                  <c:v>9653866.8808802161</c:v>
                </c:pt>
                <c:pt idx="5">
                  <c:v>10084050.633286405</c:v>
                </c:pt>
                <c:pt idx="6">
                  <c:v>10649304.716736207</c:v>
                </c:pt>
                <c:pt idx="7">
                  <c:v>11036415.688211432</c:v>
                </c:pt>
                <c:pt idx="8">
                  <c:v>11392947.977763232</c:v>
                </c:pt>
                <c:pt idx="9">
                  <c:v>12355901.918812972</c:v>
                </c:pt>
                <c:pt idx="10">
                  <c:v>12621979.323778395</c:v>
                </c:pt>
                <c:pt idx="11">
                  <c:v>13133370</c:v>
                </c:pt>
              </c:numCache>
            </c:numRef>
          </c:val>
        </c:ser>
        <c:ser>
          <c:idx val="2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(Original)'!$B$25:$F$25</c:f>
              <c:numCache>
                <c:formatCode>_("$"* #,##0_);_("$"* \(#,##0\);_("$"* "-"??_);_(@_)</c:formatCode>
                <c:ptCount val="5"/>
                <c:pt idx="0">
                  <c:v>15688</c:v>
                </c:pt>
                <c:pt idx="1">
                  <c:v>2787744</c:v>
                </c:pt>
                <c:pt idx="2">
                  <c:v>9095855</c:v>
                </c:pt>
                <c:pt idx="3">
                  <c:v>9910070</c:v>
                </c:pt>
                <c:pt idx="4">
                  <c:v>10262298</c:v>
                </c:pt>
              </c:numCache>
            </c:numRef>
          </c:val>
        </c:ser>
        <c:marker val="1"/>
        <c:axId val="143306752"/>
        <c:axId val="143308672"/>
      </c:lineChart>
      <c:catAx>
        <c:axId val="143306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08672"/>
        <c:crosses val="autoZero"/>
        <c:auto val="1"/>
        <c:lblAlgn val="ctr"/>
        <c:lblOffset val="100"/>
        <c:tickLblSkip val="1"/>
        <c:tickMarkSkip val="1"/>
      </c:catAx>
      <c:valAx>
        <c:axId val="143308672"/>
        <c:scaling>
          <c:orientation val="minMax"/>
          <c:max val="14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06752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37141971862908"/>
          <c:y val="0.49214722593262478"/>
          <c:w val="0.1123458144601351"/>
          <c:h val="0.11256558891012163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25432129427239375"/>
          <c:y val="4.724421558249154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592607774652506"/>
          <c:y val="0.22047300605162723"/>
          <c:w val="0.7358033562444013"/>
          <c:h val="0.63517223172016413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(Original)'!$B$36:$M$36</c:f>
              <c:numCache>
                <c:formatCode>_("$"* #,##0_);_("$"* \(#,##0\);_("$"* "-"??_);_(@_)</c:formatCode>
                <c:ptCount val="12"/>
                <c:pt idx="0">
                  <c:v>267133</c:v>
                </c:pt>
                <c:pt idx="1">
                  <c:v>944165.5749719505</c:v>
                </c:pt>
                <c:pt idx="2">
                  <c:v>2028195.7209262017</c:v>
                </c:pt>
                <c:pt idx="3">
                  <c:v>2931614.0397265702</c:v>
                </c:pt>
                <c:pt idx="4">
                  <c:v>3856663.3094311925</c:v>
                </c:pt>
                <c:pt idx="5">
                  <c:v>5882488.0000350196</c:v>
                </c:pt>
                <c:pt idx="6">
                  <c:v>6731086.5182639528</c:v>
                </c:pt>
                <c:pt idx="7">
                  <c:v>7591122.8906264063</c:v>
                </c:pt>
                <c:pt idx="8">
                  <c:v>8723075.9439545795</c:v>
                </c:pt>
                <c:pt idx="9">
                  <c:v>9615598.7920833826</c:v>
                </c:pt>
                <c:pt idx="10">
                  <c:v>10816644.851886313</c:v>
                </c:pt>
                <c:pt idx="11">
                  <c:v>12725459</c:v>
                </c:pt>
              </c:numCache>
            </c:numRef>
          </c:val>
        </c:ser>
        <c:ser>
          <c:idx val="2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(Original)'!$B$44:$F$44</c:f>
              <c:numCache>
                <c:formatCode>_("$"* #,##0_);_("$"* \(#,##0\);_("$"* "-"??_);_(@_)</c:formatCode>
                <c:ptCount val="5"/>
                <c:pt idx="0">
                  <c:v>267133</c:v>
                </c:pt>
                <c:pt idx="1">
                  <c:v>731385</c:v>
                </c:pt>
                <c:pt idx="2">
                  <c:v>2171649</c:v>
                </c:pt>
                <c:pt idx="3">
                  <c:v>3000286</c:v>
                </c:pt>
                <c:pt idx="4">
                  <c:v>3822159</c:v>
                </c:pt>
              </c:numCache>
            </c:numRef>
          </c:val>
        </c:ser>
        <c:marker val="1"/>
        <c:axId val="101001088"/>
        <c:axId val="101011456"/>
      </c:lineChart>
      <c:catAx>
        <c:axId val="10100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11456"/>
        <c:crosses val="autoZero"/>
        <c:auto val="1"/>
        <c:lblAlgn val="ctr"/>
        <c:lblOffset val="100"/>
        <c:tickLblSkip val="1"/>
        <c:tickMarkSkip val="1"/>
      </c:catAx>
      <c:valAx>
        <c:axId val="101011456"/>
        <c:scaling>
          <c:orientation val="minMax"/>
          <c:max val="14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01088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30969727731633"/>
          <c:y val="0.48294087039880251"/>
          <c:w val="0.1123458144601351"/>
          <c:h val="0.1128611816692853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655129789864027"/>
          <c:y val="6.00001302086159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833127317676142"/>
          <c:y val="0.23111161265540942"/>
          <c:w val="0.64894932014833129"/>
          <c:h val="0.64889029707095713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(12-31)'!$B$39:$M$39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(12-31)'!$B$46:$M$46</c:f>
              <c:numCache>
                <c:formatCode>_("$"* #,##0_);_("$"* \(#,##0\);_("$"* "-"??_);_(@_)</c:formatCode>
                <c:ptCount val="12"/>
                <c:pt idx="0">
                  <c:v>473869</c:v>
                </c:pt>
                <c:pt idx="1">
                  <c:v>1138954.3166959886</c:v>
                </c:pt>
                <c:pt idx="2">
                  <c:v>1922964.4302108067</c:v>
                </c:pt>
                <c:pt idx="3">
                  <c:v>2545102.9769167695</c:v>
                </c:pt>
                <c:pt idx="4">
                  <c:v>3169463.1455923184</c:v>
                </c:pt>
                <c:pt idx="5">
                  <c:v>3759553.8214987381</c:v>
                </c:pt>
                <c:pt idx="6">
                  <c:v>4337028.2280177921</c:v>
                </c:pt>
                <c:pt idx="7">
                  <c:v>4954647.1157815643</c:v>
                </c:pt>
                <c:pt idx="8">
                  <c:v>5764608.7118545417</c:v>
                </c:pt>
                <c:pt idx="9">
                  <c:v>6551928.4396934845</c:v>
                </c:pt>
                <c:pt idx="10">
                  <c:v>7301899.2151634553</c:v>
                </c:pt>
                <c:pt idx="11">
                  <c:v>8150616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(12-31)'!$B$39:$M$39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(12-31)'!$B$54:$M$54</c:f>
              <c:numCache>
                <c:formatCode>_("$"* #,##0_);_("$"* \(#,##0\);_("$"* "-"??_);_(@_)</c:formatCode>
                <c:ptCount val="12"/>
                <c:pt idx="0">
                  <c:v>473869</c:v>
                </c:pt>
                <c:pt idx="1">
                  <c:v>1076928</c:v>
                </c:pt>
                <c:pt idx="2">
                  <c:v>1796866</c:v>
                </c:pt>
                <c:pt idx="3">
                  <c:v>2353783</c:v>
                </c:pt>
                <c:pt idx="4">
                  <c:v>2866661</c:v>
                </c:pt>
                <c:pt idx="5">
                  <c:v>3467377</c:v>
                </c:pt>
                <c:pt idx="6">
                  <c:v>4013735.84</c:v>
                </c:pt>
                <c:pt idx="7">
                  <c:v>4742327.0399999991</c:v>
                </c:pt>
                <c:pt idx="8">
                  <c:v>5410578.3599999994</c:v>
                </c:pt>
                <c:pt idx="9">
                  <c:v>6044806.1199999992</c:v>
                </c:pt>
                <c:pt idx="10">
                  <c:v>7009305.9199999999</c:v>
                </c:pt>
                <c:pt idx="11">
                  <c:v>7927847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05-06 (12-31)'!$B$39:$M$39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(12-31)'!$B$62:$H$62</c:f>
              <c:numCache>
                <c:formatCode>_("$"* #,##0_);_("$"* \(#,##0\);_("$"* "-"??_);_(@_)</c:formatCode>
                <c:ptCount val="7"/>
                <c:pt idx="0">
                  <c:v>473869</c:v>
                </c:pt>
                <c:pt idx="1">
                  <c:v>1076928</c:v>
                </c:pt>
                <c:pt idx="2">
                  <c:v>1796866</c:v>
                </c:pt>
                <c:pt idx="3">
                  <c:v>2353783</c:v>
                </c:pt>
                <c:pt idx="4">
                  <c:v>2866661</c:v>
                </c:pt>
                <c:pt idx="5">
                  <c:v>3467377</c:v>
                </c:pt>
                <c:pt idx="6">
                  <c:v>4162749</c:v>
                </c:pt>
              </c:numCache>
            </c:numRef>
          </c:val>
        </c:ser>
        <c:marker val="1"/>
        <c:axId val="142339456"/>
        <c:axId val="142415360"/>
      </c:lineChart>
      <c:catAx>
        <c:axId val="142339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15360"/>
        <c:crosses val="autoZero"/>
        <c:auto val="1"/>
        <c:lblAlgn val="ctr"/>
        <c:lblOffset val="100"/>
        <c:tickLblSkip val="1"/>
        <c:tickMarkSkip val="1"/>
      </c:catAx>
      <c:valAx>
        <c:axId val="142415360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39456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189122373300373"/>
          <c:y val="0.54666785301183374"/>
          <c:w val="0.14709517923362175"/>
          <c:h val="0.13777807677534024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81458590852904"/>
          <c:y val="3.10262529832935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709517923362175"/>
          <c:y val="0.2935560859188544"/>
          <c:w val="0.64276885043263288"/>
          <c:h val="0.59665871121718372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(12-31)'!$B$15:$M$15</c:f>
              <c:numCache>
                <c:formatCode>_("$"* #,##0_);_("$"* \(#,##0\);_("$"* "-"??_);_(@_)</c:formatCode>
                <c:ptCount val="12"/>
                <c:pt idx="0">
                  <c:v>18673</c:v>
                </c:pt>
                <c:pt idx="1">
                  <c:v>268832.20067221386</c:v>
                </c:pt>
                <c:pt idx="2">
                  <c:v>987788.57726080273</c:v>
                </c:pt>
                <c:pt idx="3">
                  <c:v>1282943.7379629777</c:v>
                </c:pt>
                <c:pt idx="4">
                  <c:v>1932207.4129407171</c:v>
                </c:pt>
                <c:pt idx="5">
                  <c:v>5075608.3231663723</c:v>
                </c:pt>
                <c:pt idx="6">
                  <c:v>5522644.8855248112</c:v>
                </c:pt>
                <c:pt idx="7">
                  <c:v>5843755.3942403272</c:v>
                </c:pt>
                <c:pt idx="8">
                  <c:v>6131408.8619973976</c:v>
                </c:pt>
                <c:pt idx="9">
                  <c:v>6925657.7210268565</c:v>
                </c:pt>
                <c:pt idx="10">
                  <c:v>7196219.7553928895</c:v>
                </c:pt>
                <c:pt idx="11">
                  <c:v>7825175</c:v>
                </c:pt>
              </c:numCache>
            </c:numRef>
          </c:val>
        </c:ser>
        <c:ser>
          <c:idx val="1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(12-31)'!$B$25:$M$25</c:f>
              <c:numCache>
                <c:formatCode>_("$"* #,##0_);_("$"* \(#,##0\);_("$"* "-"??_);_(@_)</c:formatCode>
                <c:ptCount val="12"/>
                <c:pt idx="0">
                  <c:v>18673</c:v>
                </c:pt>
                <c:pt idx="1">
                  <c:v>328759</c:v>
                </c:pt>
                <c:pt idx="2">
                  <c:v>998007</c:v>
                </c:pt>
                <c:pt idx="3">
                  <c:v>1352059</c:v>
                </c:pt>
                <c:pt idx="4">
                  <c:v>1801781</c:v>
                </c:pt>
                <c:pt idx="5">
                  <c:v>2044911</c:v>
                </c:pt>
                <c:pt idx="6">
                  <c:v>4907353.5199999996</c:v>
                </c:pt>
                <c:pt idx="7">
                  <c:v>5212579.2</c:v>
                </c:pt>
                <c:pt idx="8">
                  <c:v>5582545.0800000001</c:v>
                </c:pt>
                <c:pt idx="9">
                  <c:v>6630701.1799999997</c:v>
                </c:pt>
                <c:pt idx="10">
                  <c:v>6913452.1799999997</c:v>
                </c:pt>
                <c:pt idx="11">
                  <c:v>7832661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(12-31)'!$B$35:$H$35</c:f>
              <c:numCache>
                <c:formatCode>_("$"* #,##0_);_("$"* \(#,##0\);_("$"* "-"??_);_(@_)</c:formatCode>
                <c:ptCount val="7"/>
                <c:pt idx="0">
                  <c:v>18673</c:v>
                </c:pt>
                <c:pt idx="1">
                  <c:v>328759</c:v>
                </c:pt>
                <c:pt idx="2">
                  <c:v>998007</c:v>
                </c:pt>
                <c:pt idx="3">
                  <c:v>1352059</c:v>
                </c:pt>
                <c:pt idx="4">
                  <c:v>1801781</c:v>
                </c:pt>
                <c:pt idx="5">
                  <c:v>2044911</c:v>
                </c:pt>
                <c:pt idx="6">
                  <c:v>5123017</c:v>
                </c:pt>
              </c:numCache>
            </c:numRef>
          </c:val>
        </c:ser>
        <c:marker val="1"/>
        <c:axId val="142445568"/>
        <c:axId val="142472320"/>
      </c:lineChart>
      <c:catAx>
        <c:axId val="142445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2320"/>
        <c:crosses val="autoZero"/>
        <c:auto val="1"/>
        <c:lblAlgn val="ctr"/>
        <c:lblOffset val="100"/>
        <c:tickLblSkip val="1"/>
        <c:tickMarkSkip val="1"/>
      </c:catAx>
      <c:valAx>
        <c:axId val="142472320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45568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683559950556241"/>
          <c:y val="0.49880668257756561"/>
          <c:w val="0.13967861557478367"/>
          <c:h val="0.176610978520286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769265790339306"/>
          <c:y val="4.25532897303711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0955723425348085"/>
          <c:y val="0.25768381003391427"/>
          <c:w val="0.71911503759997542"/>
          <c:h val="0.61938677274206921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(12-31)'!$B$46:$M$46</c:f>
              <c:numCache>
                <c:formatCode>_("$"* #,##0_);_("$"* \(#,##0\);_("$"* "-"??_);_(@_)</c:formatCode>
                <c:ptCount val="12"/>
                <c:pt idx="0">
                  <c:v>363313</c:v>
                </c:pt>
                <c:pt idx="1">
                  <c:v>1131915.1820901982</c:v>
                </c:pt>
                <c:pt idx="2">
                  <c:v>2745480.8066075863</c:v>
                </c:pt>
                <c:pt idx="3">
                  <c:v>17351457.327747665</c:v>
                </c:pt>
                <c:pt idx="4">
                  <c:v>18763971.011837512</c:v>
                </c:pt>
                <c:pt idx="5">
                  <c:v>22234456.655832395</c:v>
                </c:pt>
                <c:pt idx="6">
                  <c:v>24388325.845924694</c:v>
                </c:pt>
                <c:pt idx="7">
                  <c:v>26384999.883741062</c:v>
                </c:pt>
                <c:pt idx="8">
                  <c:v>28777285.702156805</c:v>
                </c:pt>
                <c:pt idx="9">
                  <c:v>44572059.712098815</c:v>
                </c:pt>
                <c:pt idx="10">
                  <c:v>47130780.772487327</c:v>
                </c:pt>
                <c:pt idx="11">
                  <c:v>51859734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(12-31)'!$B$54:$M$54</c:f>
              <c:numCache>
                <c:formatCode>_("$"* #,##0_);_("$"* \(#,##0\);_("$"* "-"??_);_(@_)</c:formatCode>
                <c:ptCount val="12"/>
                <c:pt idx="0">
                  <c:v>363313</c:v>
                </c:pt>
                <c:pt idx="1">
                  <c:v>1090474</c:v>
                </c:pt>
                <c:pt idx="2">
                  <c:v>2764732</c:v>
                </c:pt>
                <c:pt idx="3">
                  <c:v>17171990</c:v>
                </c:pt>
                <c:pt idx="4">
                  <c:v>18451962</c:v>
                </c:pt>
                <c:pt idx="5">
                  <c:v>19480336</c:v>
                </c:pt>
                <c:pt idx="6">
                  <c:v>23203193.199999999</c:v>
                </c:pt>
                <c:pt idx="7">
                  <c:v>26001061</c:v>
                </c:pt>
                <c:pt idx="8">
                  <c:v>28251773.080000002</c:v>
                </c:pt>
                <c:pt idx="9">
                  <c:v>43591107.32</c:v>
                </c:pt>
                <c:pt idx="10">
                  <c:v>46388975.120000005</c:v>
                </c:pt>
                <c:pt idx="11">
                  <c:v>51190760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(12-31)'!$B$62:$H$62</c:f>
              <c:numCache>
                <c:formatCode>_("$"* #,##0_);_("$"* \(#,##0\);_("$"* "-"??_);_(@_)</c:formatCode>
                <c:ptCount val="7"/>
                <c:pt idx="0">
                  <c:v>363313</c:v>
                </c:pt>
                <c:pt idx="1">
                  <c:v>1090474</c:v>
                </c:pt>
                <c:pt idx="2">
                  <c:v>2764732</c:v>
                </c:pt>
                <c:pt idx="3">
                  <c:v>17171990</c:v>
                </c:pt>
                <c:pt idx="4">
                  <c:v>18451962</c:v>
                </c:pt>
                <c:pt idx="5">
                  <c:v>19480336</c:v>
                </c:pt>
                <c:pt idx="6">
                  <c:v>22610697</c:v>
                </c:pt>
              </c:numCache>
            </c:numRef>
          </c:val>
        </c:ser>
        <c:marker val="1"/>
        <c:axId val="142805248"/>
        <c:axId val="142827904"/>
      </c:lineChart>
      <c:catAx>
        <c:axId val="142805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27904"/>
        <c:crosses val="autoZero"/>
        <c:auto val="1"/>
        <c:lblAlgn val="ctr"/>
        <c:lblOffset val="100"/>
        <c:tickLblSkip val="1"/>
        <c:tickMarkSkip val="1"/>
      </c:catAx>
      <c:valAx>
        <c:axId val="142827904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05248"/>
        <c:crosses val="autoZero"/>
        <c:crossBetween val="between"/>
        <c:majorUnit val="10000000"/>
        <c:minorUnit val="5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8238042502143"/>
          <c:y val="0.48227061694420653"/>
          <c:w val="0.117715751697889"/>
          <c:h val="0.1513005857079863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574768394266799"/>
          <c:y val="3.163024547180436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500007130279331"/>
          <c:y val="0.24574267635786468"/>
          <c:w val="0.69626207940621321"/>
          <c:h val="0.6058408555753297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(12-31)'!$B$15:$M$15</c:f>
              <c:numCache>
                <c:formatCode>_("$"* #,##0_);_("$"* \(#,##0\);_("$"* "-"??_);_(@_)</c:formatCode>
                <c:ptCount val="12"/>
                <c:pt idx="0">
                  <c:v>18300</c:v>
                </c:pt>
                <c:pt idx="1">
                  <c:v>6472871.4797286158</c:v>
                </c:pt>
                <c:pt idx="2">
                  <c:v>25663183.247490227</c:v>
                </c:pt>
                <c:pt idx="3">
                  <c:v>27455704.744940158</c:v>
                </c:pt>
                <c:pt idx="4">
                  <c:v>35112487.66923482</c:v>
                </c:pt>
                <c:pt idx="5">
                  <c:v>36084833.780048713</c:v>
                </c:pt>
                <c:pt idx="6">
                  <c:v>37972348.349970363</c:v>
                </c:pt>
                <c:pt idx="7">
                  <c:v>39344807.256694302</c:v>
                </c:pt>
                <c:pt idx="8">
                  <c:v>42944973.043497555</c:v>
                </c:pt>
                <c:pt idx="9">
                  <c:v>45595134.16578079</c:v>
                </c:pt>
                <c:pt idx="10">
                  <c:v>46454135.211299598</c:v>
                </c:pt>
                <c:pt idx="11">
                  <c:v>47932808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(12-31)'!$B$25:$M$25</c:f>
              <c:numCache>
                <c:formatCode>_("$"* #,##0_);_("$"* \(#,##0\);_("$"* "-"??_);_(@_)</c:formatCode>
                <c:ptCount val="12"/>
                <c:pt idx="0">
                  <c:v>18300</c:v>
                </c:pt>
                <c:pt idx="1">
                  <c:v>7062224</c:v>
                </c:pt>
                <c:pt idx="2">
                  <c:v>25544754</c:v>
                </c:pt>
                <c:pt idx="3">
                  <c:v>27842883</c:v>
                </c:pt>
                <c:pt idx="4">
                  <c:v>30599012</c:v>
                </c:pt>
                <c:pt idx="5">
                  <c:v>31500504</c:v>
                </c:pt>
                <c:pt idx="6">
                  <c:v>33383698.5</c:v>
                </c:pt>
                <c:pt idx="7">
                  <c:v>36188754.850000001</c:v>
                </c:pt>
                <c:pt idx="8">
                  <c:v>38620636.75</c:v>
                </c:pt>
                <c:pt idx="9">
                  <c:v>40594563.649999999</c:v>
                </c:pt>
                <c:pt idx="10">
                  <c:v>41765345.099999994</c:v>
                </c:pt>
                <c:pt idx="11">
                  <c:v>48876895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(12-31)'!$B$35:$H$35</c:f>
              <c:numCache>
                <c:formatCode>_("$"* #,##0_);_("$"* \(#,##0\);_("$"* "-"??_);_(@_)</c:formatCode>
                <c:ptCount val="7"/>
                <c:pt idx="0">
                  <c:v>18300</c:v>
                </c:pt>
                <c:pt idx="1">
                  <c:v>7062224</c:v>
                </c:pt>
                <c:pt idx="2">
                  <c:v>25544754</c:v>
                </c:pt>
                <c:pt idx="3">
                  <c:v>27842883</c:v>
                </c:pt>
                <c:pt idx="4">
                  <c:v>30599012</c:v>
                </c:pt>
                <c:pt idx="5">
                  <c:v>31500504</c:v>
                </c:pt>
                <c:pt idx="6">
                  <c:v>32931364</c:v>
                </c:pt>
              </c:numCache>
            </c:numRef>
          </c:val>
        </c:ser>
        <c:marker val="1"/>
        <c:axId val="142849152"/>
        <c:axId val="142851072"/>
      </c:lineChart>
      <c:catAx>
        <c:axId val="142849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51072"/>
        <c:crosses val="autoZero"/>
        <c:auto val="1"/>
        <c:lblAlgn val="ctr"/>
        <c:lblOffset val="100"/>
        <c:tickLblSkip val="1"/>
        <c:tickMarkSkip val="1"/>
      </c:catAx>
      <c:valAx>
        <c:axId val="142851072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49152"/>
        <c:crosses val="autoZero"/>
        <c:crossBetween val="between"/>
        <c:majorUnit val="10000000"/>
        <c:min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9724497415131"/>
          <c:y val="0.41605938274450355"/>
          <c:w val="0.11799072151011331"/>
          <c:h val="0.155718131553498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06853471257199"/>
          <c:y val="3.141365271910370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173920427698241"/>
          <c:y val="0.24345580857305374"/>
          <c:w val="0.69937930620348054"/>
          <c:h val="0.630890858775332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(12-31)'!$B$15:$M$15</c:f>
              <c:numCache>
                <c:formatCode>_("$"* #,##0_);_("$"* \(#,##0\);_("$"* "-"??_);_(@_)</c:formatCode>
                <c:ptCount val="12"/>
                <c:pt idx="0">
                  <c:v>15688</c:v>
                </c:pt>
                <c:pt idx="1">
                  <c:v>2207155.645901971</c:v>
                </c:pt>
                <c:pt idx="2">
                  <c:v>8450691.7082456145</c:v>
                </c:pt>
                <c:pt idx="3">
                  <c:v>9020881.3415269498</c:v>
                </c:pt>
                <c:pt idx="4">
                  <c:v>9653866.8808802161</c:v>
                </c:pt>
                <c:pt idx="5">
                  <c:v>10084050.633286405</c:v>
                </c:pt>
                <c:pt idx="6">
                  <c:v>10649304.716736207</c:v>
                </c:pt>
                <c:pt idx="7">
                  <c:v>11036415.688211432</c:v>
                </c:pt>
                <c:pt idx="8">
                  <c:v>11392947.977763232</c:v>
                </c:pt>
                <c:pt idx="9">
                  <c:v>12355901.918812972</c:v>
                </c:pt>
                <c:pt idx="10">
                  <c:v>12621979.323778395</c:v>
                </c:pt>
                <c:pt idx="11">
                  <c:v>13133370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(12-31)'!$B$25:$M$25</c:f>
              <c:numCache>
                <c:formatCode>_("$"* #,##0_);_("$"* \(#,##0\);_("$"* "-"??_);_(@_)</c:formatCode>
                <c:ptCount val="12"/>
                <c:pt idx="0">
                  <c:v>15688</c:v>
                </c:pt>
                <c:pt idx="1">
                  <c:v>2787744</c:v>
                </c:pt>
                <c:pt idx="2">
                  <c:v>9095855</c:v>
                </c:pt>
                <c:pt idx="3">
                  <c:v>9910070</c:v>
                </c:pt>
                <c:pt idx="4">
                  <c:v>10262298</c:v>
                </c:pt>
                <c:pt idx="5">
                  <c:v>10603498</c:v>
                </c:pt>
                <c:pt idx="6">
                  <c:v>11041108</c:v>
                </c:pt>
                <c:pt idx="7">
                  <c:v>11409919</c:v>
                </c:pt>
                <c:pt idx="8">
                  <c:v>11778730</c:v>
                </c:pt>
                <c:pt idx="9">
                  <c:v>12147541</c:v>
                </c:pt>
                <c:pt idx="10">
                  <c:v>12756969</c:v>
                </c:pt>
                <c:pt idx="11">
                  <c:v>13242012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(12-31)'!$B$35:$H$35</c:f>
              <c:numCache>
                <c:formatCode>_("$"* #,##0_);_("$"* \(#,##0\);_("$"* "-"??_);_(@_)</c:formatCode>
                <c:ptCount val="7"/>
                <c:pt idx="0">
                  <c:v>15688</c:v>
                </c:pt>
                <c:pt idx="1">
                  <c:v>2787744</c:v>
                </c:pt>
                <c:pt idx="2">
                  <c:v>9095855</c:v>
                </c:pt>
                <c:pt idx="3">
                  <c:v>9910070</c:v>
                </c:pt>
                <c:pt idx="4">
                  <c:v>10262298</c:v>
                </c:pt>
                <c:pt idx="5">
                  <c:v>10603498</c:v>
                </c:pt>
                <c:pt idx="6">
                  <c:v>11098445</c:v>
                </c:pt>
              </c:numCache>
            </c:numRef>
          </c:val>
        </c:ser>
        <c:marker val="1"/>
        <c:axId val="143141504"/>
        <c:axId val="143143680"/>
      </c:lineChart>
      <c:catAx>
        <c:axId val="143141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43680"/>
        <c:crosses val="autoZero"/>
        <c:auto val="1"/>
        <c:lblAlgn val="ctr"/>
        <c:lblOffset val="100"/>
        <c:tickLblSkip val="1"/>
        <c:tickMarkSkip val="1"/>
      </c:catAx>
      <c:valAx>
        <c:axId val="143143680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41504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90114027388653"/>
          <c:y val="0.46596918200003834"/>
          <c:w val="0.12546591461199208"/>
          <c:h val="0.1675394811685531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25341630278065724"/>
          <c:y val="4.724421558249154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795038816866519"/>
          <c:y val="0.22309768469509897"/>
          <c:w val="0.69316812231179781"/>
          <c:h val="0.5958020520680879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(12-31)'!$B$46:$M$46</c:f>
              <c:numCache>
                <c:formatCode>_("$"* #,##0_);_("$"* \(#,##0\);_("$"* "-"??_);_(@_)</c:formatCode>
                <c:ptCount val="12"/>
                <c:pt idx="0">
                  <c:v>267133</c:v>
                </c:pt>
                <c:pt idx="1">
                  <c:v>944165.5749719505</c:v>
                </c:pt>
                <c:pt idx="2">
                  <c:v>2028195.7209262017</c:v>
                </c:pt>
                <c:pt idx="3">
                  <c:v>2931614.0397265702</c:v>
                </c:pt>
                <c:pt idx="4">
                  <c:v>3856663.3094311925</c:v>
                </c:pt>
                <c:pt idx="5">
                  <c:v>5882488.0000350196</c:v>
                </c:pt>
                <c:pt idx="6">
                  <c:v>6731086.5182639528</c:v>
                </c:pt>
                <c:pt idx="7">
                  <c:v>7591122.8906264063</c:v>
                </c:pt>
                <c:pt idx="8">
                  <c:v>8723075.9439545795</c:v>
                </c:pt>
                <c:pt idx="9">
                  <c:v>9615598.7920833826</c:v>
                </c:pt>
                <c:pt idx="10">
                  <c:v>10816644.851886313</c:v>
                </c:pt>
                <c:pt idx="11">
                  <c:v>12725459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(12-31)'!$B$54:$M$54</c:f>
              <c:numCache>
                <c:formatCode>_("$"* #,##0_);_("$"* \(#,##0\);_("$"* "-"??_);_(@_)</c:formatCode>
                <c:ptCount val="12"/>
                <c:pt idx="0">
                  <c:v>267133</c:v>
                </c:pt>
                <c:pt idx="1">
                  <c:v>731385</c:v>
                </c:pt>
                <c:pt idx="2">
                  <c:v>2171649</c:v>
                </c:pt>
                <c:pt idx="3">
                  <c:v>3000286</c:v>
                </c:pt>
                <c:pt idx="4">
                  <c:v>3822159</c:v>
                </c:pt>
                <c:pt idx="5">
                  <c:v>4559579</c:v>
                </c:pt>
                <c:pt idx="6">
                  <c:v>6931872.1500000004</c:v>
                </c:pt>
                <c:pt idx="7">
                  <c:v>7854773.4500000002</c:v>
                </c:pt>
                <c:pt idx="8">
                  <c:v>8570359</c:v>
                </c:pt>
                <c:pt idx="9">
                  <c:v>9942167.5999999996</c:v>
                </c:pt>
                <c:pt idx="10">
                  <c:v>11032259</c:v>
                </c:pt>
                <c:pt idx="11">
                  <c:v>13626145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05-06 (12-31)'!$B$6:$M$6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05-06 (12-31)'!$B$62:$H$62</c:f>
              <c:numCache>
                <c:formatCode>_("$"* #,##0_);_("$"* \(#,##0\);_("$"* "-"??_);_(@_)</c:formatCode>
                <c:ptCount val="7"/>
                <c:pt idx="0">
                  <c:v>267133</c:v>
                </c:pt>
                <c:pt idx="1">
                  <c:v>731385</c:v>
                </c:pt>
                <c:pt idx="2">
                  <c:v>2171649</c:v>
                </c:pt>
                <c:pt idx="3">
                  <c:v>3000286</c:v>
                </c:pt>
                <c:pt idx="4">
                  <c:v>3822159</c:v>
                </c:pt>
                <c:pt idx="5">
                  <c:v>4559579</c:v>
                </c:pt>
                <c:pt idx="6">
                  <c:v>6480359</c:v>
                </c:pt>
              </c:numCache>
            </c:numRef>
          </c:val>
        </c:ser>
        <c:marker val="1"/>
        <c:axId val="103618048"/>
        <c:axId val="103619968"/>
      </c:lineChart>
      <c:catAx>
        <c:axId val="103618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19968"/>
        <c:crosses val="autoZero"/>
        <c:auto val="1"/>
        <c:lblAlgn val="ctr"/>
        <c:lblOffset val="100"/>
        <c:tickLblSkip val="1"/>
        <c:tickMarkSkip val="1"/>
      </c:catAx>
      <c:valAx>
        <c:axId val="103619968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18048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96324604719408"/>
          <c:y val="0.43307197617283921"/>
          <c:w val="0.12546591461199208"/>
          <c:h val="0.1679794331821921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655129789864027"/>
          <c:y val="6.00001302086159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833127317676142"/>
          <c:y val="0.23111161265540942"/>
          <c:w val="0.64894932014833129"/>
          <c:h val="0.64889029707095713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(4-30)'!$B$39:$M$39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(4-30)'!$B$46:$M$46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1357840.02</c:v>
                </c:pt>
                <c:pt idx="2">
                  <c:v>1851711.47</c:v>
                </c:pt>
                <c:pt idx="3">
                  <c:v>2667273.48</c:v>
                </c:pt>
                <c:pt idx="4">
                  <c:v>3260817.71</c:v>
                </c:pt>
                <c:pt idx="5">
                  <c:v>3804526.0500000003</c:v>
                </c:pt>
                <c:pt idx="6">
                  <c:v>4497742.0600000005</c:v>
                </c:pt>
                <c:pt idx="7">
                  <c:v>5190957.07</c:v>
                </c:pt>
                <c:pt idx="8">
                  <c:v>5734665.4100000001</c:v>
                </c:pt>
                <c:pt idx="9">
                  <c:v>6600063.3100000005</c:v>
                </c:pt>
                <c:pt idx="10">
                  <c:v>7442786.9900000002</c:v>
                </c:pt>
                <c:pt idx="11">
                  <c:v>8203230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(4-30)'!$B$39:$M$39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(4-30)'!$B$54:$M$54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1055532</c:v>
                </c:pt>
                <c:pt idx="2">
                  <c:v>1666336</c:v>
                </c:pt>
                <c:pt idx="3">
                  <c:v>2342832</c:v>
                </c:pt>
                <c:pt idx="4">
                  <c:v>2903168</c:v>
                </c:pt>
                <c:pt idx="5">
                  <c:v>3432829</c:v>
                </c:pt>
                <c:pt idx="6">
                  <c:v>3949881</c:v>
                </c:pt>
                <c:pt idx="7">
                  <c:v>4503488</c:v>
                </c:pt>
                <c:pt idx="8">
                  <c:v>5107478</c:v>
                </c:pt>
                <c:pt idx="9">
                  <c:v>5935834</c:v>
                </c:pt>
                <c:pt idx="10">
                  <c:v>6966531.4800000004</c:v>
                </c:pt>
                <c:pt idx="11">
                  <c:v>7934755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05-06 (4-30)'!$B$39:$M$39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(4-30)'!$B$62:$M$62</c:f>
              <c:numCache>
                <c:formatCode>_("$"* #,##0_);_("$"* \(#,##0\);_("$"* "-"??_);_(@_)</c:formatCode>
                <c:ptCount val="12"/>
                <c:pt idx="0">
                  <c:v>544873</c:v>
                </c:pt>
                <c:pt idx="1">
                  <c:v>1055532</c:v>
                </c:pt>
                <c:pt idx="2">
                  <c:v>1666336</c:v>
                </c:pt>
                <c:pt idx="3">
                  <c:v>2342832</c:v>
                </c:pt>
                <c:pt idx="4">
                  <c:v>2903168</c:v>
                </c:pt>
                <c:pt idx="5">
                  <c:v>3432829</c:v>
                </c:pt>
                <c:pt idx="6">
                  <c:v>3949881</c:v>
                </c:pt>
                <c:pt idx="7">
                  <c:v>4503488</c:v>
                </c:pt>
                <c:pt idx="8">
                  <c:v>5107478</c:v>
                </c:pt>
                <c:pt idx="9">
                  <c:v>5935834</c:v>
                </c:pt>
                <c:pt idx="10">
                  <c:v>6612720</c:v>
                </c:pt>
                <c:pt idx="11">
                  <c:v>7385807</c:v>
                </c:pt>
              </c:numCache>
            </c:numRef>
          </c:val>
        </c:ser>
        <c:marker val="1"/>
        <c:axId val="142510720"/>
        <c:axId val="142516992"/>
      </c:lineChart>
      <c:catAx>
        <c:axId val="142510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16992"/>
        <c:crosses val="autoZero"/>
        <c:auto val="1"/>
        <c:lblAlgn val="ctr"/>
        <c:lblOffset val="100"/>
        <c:tickLblSkip val="1"/>
        <c:tickMarkSkip val="1"/>
      </c:catAx>
      <c:valAx>
        <c:axId val="142516992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10720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189122373300373"/>
          <c:y val="0.57333457754899642"/>
          <c:w val="0.14709517923362175"/>
          <c:h val="0.13777807677534024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81458590852904"/>
          <c:y val="3.10262529832935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709517923362175"/>
          <c:y val="0.2935560859188544"/>
          <c:w val="0.6440049443757726"/>
          <c:h val="0.59665871121718372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(Template)'!$B$15:$M$15</c:f>
              <c:numCache>
                <c:formatCode>_("$"* #,##0_);_("$"* \(#,##0\);_("$"* "-"??_);_(@_)</c:formatCode>
                <c:ptCount val="12"/>
                <c:pt idx="0">
                  <c:v>50374</c:v>
                </c:pt>
                <c:pt idx="1">
                  <c:v>299519.44</c:v>
                </c:pt>
                <c:pt idx="2">
                  <c:v>993870.97</c:v>
                </c:pt>
                <c:pt idx="3">
                  <c:v>1417679.35</c:v>
                </c:pt>
                <c:pt idx="4">
                  <c:v>1982597.7100000002</c:v>
                </c:pt>
                <c:pt idx="5">
                  <c:v>4866064.4800000004</c:v>
                </c:pt>
                <c:pt idx="6">
                  <c:v>5157208.2200000007</c:v>
                </c:pt>
                <c:pt idx="7">
                  <c:v>6033827.2699999996</c:v>
                </c:pt>
                <c:pt idx="8">
                  <c:v>6520350.3700000001</c:v>
                </c:pt>
                <c:pt idx="9">
                  <c:v>6923307.4817000004</c:v>
                </c:pt>
                <c:pt idx="10">
                  <c:v>7240648.7517000008</c:v>
                </c:pt>
                <c:pt idx="11">
                  <c:v>7854091</c:v>
                </c:pt>
              </c:numCache>
            </c:numRef>
          </c:val>
        </c:ser>
        <c:ser>
          <c:idx val="1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(Template)'!$B$25:$M$25</c:f>
              <c:numCache>
                <c:formatCode>_("$"* #,##0_);_("$"* \(#,##0\);_("$"* "-"??_);_(@_)</c:formatCode>
                <c:ptCount val="12"/>
                <c:pt idx="0">
                  <c:v>50374</c:v>
                </c:pt>
                <c:pt idx="1">
                  <c:v>256330</c:v>
                </c:pt>
                <c:pt idx="2">
                  <c:v>946967</c:v>
                </c:pt>
                <c:pt idx="3">
                  <c:v>1201898</c:v>
                </c:pt>
                <c:pt idx="4">
                  <c:v>1735387</c:v>
                </c:pt>
                <c:pt idx="5">
                  <c:v>4595801</c:v>
                </c:pt>
                <c:pt idx="6">
                  <c:v>4966231</c:v>
                </c:pt>
                <c:pt idx="7">
                  <c:v>5237691</c:v>
                </c:pt>
                <c:pt idx="8">
                  <c:v>5456823</c:v>
                </c:pt>
                <c:pt idx="9">
                  <c:v>6157806</c:v>
                </c:pt>
                <c:pt idx="10">
                  <c:v>6478181.7599999998</c:v>
                </c:pt>
                <c:pt idx="11">
                  <c:v>7572673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04-05 (Template)'!$B$39:$M$39</c:f>
              <c:numCache>
                <c:formatCode>_("$"* #,##0_);_("$"* \(#,##0\);_("$"* "-"??_);_(@_)</c:formatCode>
                <c:ptCount val="12"/>
                <c:pt idx="0">
                  <c:v>50374.032872583375</c:v>
                </c:pt>
                <c:pt idx="1">
                  <c:v>256330.16150958432</c:v>
                </c:pt>
                <c:pt idx="2">
                  <c:v>946967.59153281676</c:v>
                </c:pt>
                <c:pt idx="3">
                  <c:v>1201898.7373782918</c:v>
                </c:pt>
                <c:pt idx="4">
                  <c:v>1735388.1634652719</c:v>
                </c:pt>
                <c:pt idx="5">
                  <c:v>4595803.1833514143</c:v>
                </c:pt>
                <c:pt idx="6">
                  <c:v>4966233.5019289786</c:v>
                </c:pt>
                <c:pt idx="7">
                  <c:v>5237693.6553971507</c:v>
                </c:pt>
                <c:pt idx="8">
                  <c:v>5456825.9303834047</c:v>
                </c:pt>
                <c:pt idx="9">
                  <c:v>6157809.2865941972</c:v>
                </c:pt>
                <c:pt idx="10">
                  <c:v>6383887.4258043664</c:v>
                </c:pt>
                <c:pt idx="11">
                  <c:v>6878498</c:v>
                </c:pt>
              </c:numCache>
            </c:numRef>
          </c:val>
        </c:ser>
        <c:marker val="1"/>
        <c:axId val="142294400"/>
        <c:axId val="142300672"/>
      </c:lineChart>
      <c:catAx>
        <c:axId val="14229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00672"/>
        <c:crosses val="autoZero"/>
        <c:auto val="1"/>
        <c:lblAlgn val="ctr"/>
        <c:lblOffset val="100"/>
        <c:tickLblSkip val="1"/>
        <c:tickMarkSkip val="1"/>
      </c:catAx>
      <c:valAx>
        <c:axId val="142300672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294400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683559950556241"/>
          <c:y val="0.52505966587112174"/>
          <c:w val="0.13967861557478367"/>
          <c:h val="0.176610978520286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81458590852904"/>
          <c:y val="3.10262529832935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709517923362175"/>
          <c:y val="0.2935560859188544"/>
          <c:w val="0.64276885043263288"/>
          <c:h val="0.59665871121718372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(4-30)'!$B$15:$M$15</c:f>
              <c:numCache>
                <c:formatCode>_("$"* #,##0_);_("$"* \(#,##0\);_("$"* "-"??_);_(@_)</c:formatCode>
                <c:ptCount val="12"/>
                <c:pt idx="0">
                  <c:v>50374</c:v>
                </c:pt>
                <c:pt idx="1">
                  <c:v>299519.44</c:v>
                </c:pt>
                <c:pt idx="2">
                  <c:v>993870.97</c:v>
                </c:pt>
                <c:pt idx="3">
                  <c:v>1417679.35</c:v>
                </c:pt>
                <c:pt idx="4">
                  <c:v>1982597.7100000002</c:v>
                </c:pt>
                <c:pt idx="5">
                  <c:v>4866064.4800000004</c:v>
                </c:pt>
                <c:pt idx="6">
                  <c:v>5157208.2200000007</c:v>
                </c:pt>
                <c:pt idx="7">
                  <c:v>6033827.2699999996</c:v>
                </c:pt>
                <c:pt idx="8">
                  <c:v>6520350.3700000001</c:v>
                </c:pt>
                <c:pt idx="9">
                  <c:v>6923307.4817000004</c:v>
                </c:pt>
                <c:pt idx="10">
                  <c:v>7240648.7517000008</c:v>
                </c:pt>
                <c:pt idx="11">
                  <c:v>7854091</c:v>
                </c:pt>
              </c:numCache>
            </c:numRef>
          </c:val>
        </c:ser>
        <c:ser>
          <c:idx val="1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(4-30)'!$B$25:$M$25</c:f>
              <c:numCache>
                <c:formatCode>_("$"* #,##0_);_("$"* \(#,##0\);_("$"* "-"??_);_(@_)</c:formatCode>
                <c:ptCount val="12"/>
                <c:pt idx="0">
                  <c:v>50374</c:v>
                </c:pt>
                <c:pt idx="1">
                  <c:v>256330</c:v>
                </c:pt>
                <c:pt idx="2">
                  <c:v>946967</c:v>
                </c:pt>
                <c:pt idx="3">
                  <c:v>1201898</c:v>
                </c:pt>
                <c:pt idx="4">
                  <c:v>1735387</c:v>
                </c:pt>
                <c:pt idx="5">
                  <c:v>4595801</c:v>
                </c:pt>
                <c:pt idx="6">
                  <c:v>4966231</c:v>
                </c:pt>
                <c:pt idx="7">
                  <c:v>5237691</c:v>
                </c:pt>
                <c:pt idx="8">
                  <c:v>5456823</c:v>
                </c:pt>
                <c:pt idx="9">
                  <c:v>6157806</c:v>
                </c:pt>
                <c:pt idx="10">
                  <c:v>6478181.7599999998</c:v>
                </c:pt>
                <c:pt idx="11">
                  <c:v>7572673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'General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(4-30)'!$B$35:$M$35</c:f>
              <c:numCache>
                <c:formatCode>_("$"* #,##0_);_("$"* \(#,##0\);_("$"* "-"??_);_(@_)</c:formatCode>
                <c:ptCount val="12"/>
                <c:pt idx="0">
                  <c:v>50374</c:v>
                </c:pt>
                <c:pt idx="1">
                  <c:v>256330</c:v>
                </c:pt>
                <c:pt idx="2">
                  <c:v>946967</c:v>
                </c:pt>
                <c:pt idx="3">
                  <c:v>1201898</c:v>
                </c:pt>
                <c:pt idx="4">
                  <c:v>1735387</c:v>
                </c:pt>
                <c:pt idx="5">
                  <c:v>4595801</c:v>
                </c:pt>
                <c:pt idx="6">
                  <c:v>4966231</c:v>
                </c:pt>
                <c:pt idx="7">
                  <c:v>5237691</c:v>
                </c:pt>
                <c:pt idx="8">
                  <c:v>5456823</c:v>
                </c:pt>
                <c:pt idx="9">
                  <c:v>6157806</c:v>
                </c:pt>
                <c:pt idx="10">
                  <c:v>6383884</c:v>
                </c:pt>
                <c:pt idx="11">
                  <c:v>6878494</c:v>
                </c:pt>
              </c:numCache>
            </c:numRef>
          </c:val>
        </c:ser>
        <c:marker val="1"/>
        <c:axId val="142559488"/>
        <c:axId val="142565760"/>
      </c:lineChart>
      <c:catAx>
        <c:axId val="142559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65760"/>
        <c:crosses val="autoZero"/>
        <c:auto val="1"/>
        <c:lblAlgn val="ctr"/>
        <c:lblOffset val="100"/>
        <c:tickLblSkip val="1"/>
        <c:tickMarkSkip val="1"/>
      </c:catAx>
      <c:valAx>
        <c:axId val="142565760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59488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683559950556241"/>
          <c:y val="0.52505966587112174"/>
          <c:w val="0.13967861557478367"/>
          <c:h val="0.176610978520286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769265790339306"/>
          <c:y val="4.25532897303711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0955723425348085"/>
          <c:y val="0.25768381003391427"/>
          <c:w val="0.71911503759997542"/>
          <c:h val="0.61938677274206921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(4-30)'!$B$46:$M$46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1014626.36</c:v>
                </c:pt>
                <c:pt idx="2">
                  <c:v>2001603.72</c:v>
                </c:pt>
                <c:pt idx="3">
                  <c:v>18561463.131999999</c:v>
                </c:pt>
                <c:pt idx="4">
                  <c:v>19460005.131999999</c:v>
                </c:pt>
                <c:pt idx="5">
                  <c:v>22051804.131999999</c:v>
                </c:pt>
                <c:pt idx="6">
                  <c:v>23742710.131999999</c:v>
                </c:pt>
                <c:pt idx="7">
                  <c:v>26342192.131999999</c:v>
                </c:pt>
                <c:pt idx="8">
                  <c:v>27636133.131999999</c:v>
                </c:pt>
                <c:pt idx="9">
                  <c:v>40285081.131999999</c:v>
                </c:pt>
                <c:pt idx="10">
                  <c:v>42375952.131999999</c:v>
                </c:pt>
                <c:pt idx="11">
                  <c:v>47260707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(4-30)'!$B$54:$M$54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1225980</c:v>
                </c:pt>
                <c:pt idx="2">
                  <c:v>2933734</c:v>
                </c:pt>
                <c:pt idx="3">
                  <c:v>17338677</c:v>
                </c:pt>
                <c:pt idx="4">
                  <c:v>19195231</c:v>
                </c:pt>
                <c:pt idx="5">
                  <c:v>22919872</c:v>
                </c:pt>
                <c:pt idx="6">
                  <c:v>25408127</c:v>
                </c:pt>
                <c:pt idx="7">
                  <c:v>27790273</c:v>
                </c:pt>
                <c:pt idx="8">
                  <c:v>30227159</c:v>
                </c:pt>
                <c:pt idx="9">
                  <c:v>45691248</c:v>
                </c:pt>
                <c:pt idx="10">
                  <c:v>48950458.449999996</c:v>
                </c:pt>
                <c:pt idx="11">
                  <c:v>58468908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(4-30)'!$B$62:$M$62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1225980</c:v>
                </c:pt>
                <c:pt idx="2">
                  <c:v>2933734</c:v>
                </c:pt>
                <c:pt idx="3">
                  <c:v>17338677</c:v>
                </c:pt>
                <c:pt idx="4">
                  <c:v>19195231</c:v>
                </c:pt>
                <c:pt idx="5">
                  <c:v>22919872</c:v>
                </c:pt>
                <c:pt idx="6">
                  <c:v>25408127</c:v>
                </c:pt>
                <c:pt idx="7">
                  <c:v>27790273</c:v>
                </c:pt>
                <c:pt idx="8">
                  <c:v>30227159</c:v>
                </c:pt>
                <c:pt idx="9">
                  <c:v>45691248</c:v>
                </c:pt>
                <c:pt idx="10">
                  <c:v>48565959</c:v>
                </c:pt>
                <c:pt idx="11">
                  <c:v>53382364</c:v>
                </c:pt>
              </c:numCache>
            </c:numRef>
          </c:val>
        </c:ser>
        <c:marker val="1"/>
        <c:axId val="142897536"/>
        <c:axId val="142899456"/>
      </c:lineChart>
      <c:catAx>
        <c:axId val="14289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99456"/>
        <c:crosses val="autoZero"/>
        <c:auto val="1"/>
        <c:lblAlgn val="ctr"/>
        <c:lblOffset val="100"/>
        <c:tickLblSkip val="1"/>
        <c:tickMarkSkip val="1"/>
      </c:catAx>
      <c:valAx>
        <c:axId val="142899456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97536"/>
        <c:crosses val="autoZero"/>
        <c:crossBetween val="between"/>
        <c:majorUnit val="10000000"/>
        <c:minorUnit val="5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8238042502143"/>
          <c:y val="0.48227061694420653"/>
          <c:w val="0.117715751697889"/>
          <c:h val="0.1513005857079863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574768394266799"/>
          <c:y val="3.163024547180436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500007130279331"/>
          <c:y val="0.24574267635786468"/>
          <c:w val="0.69626207940621321"/>
          <c:h val="0.6058408555753297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(4-30)'!$B$15:$M$15</c:f>
              <c:numCache>
                <c:formatCode>_("$"* #,##0_);_("$"* \(#,##0\);_("$"* "-"??_);_(@_)</c:formatCode>
                <c:ptCount val="12"/>
                <c:pt idx="0">
                  <c:v>899099</c:v>
                </c:pt>
                <c:pt idx="1">
                  <c:v>6824658.9400000004</c:v>
                </c:pt>
                <c:pt idx="2">
                  <c:v>23627122.440000001</c:v>
                </c:pt>
                <c:pt idx="3">
                  <c:v>26945418.681111112</c:v>
                </c:pt>
                <c:pt idx="4">
                  <c:v>31737450.700222224</c:v>
                </c:pt>
                <c:pt idx="5">
                  <c:v>32908482.68333333</c:v>
                </c:pt>
                <c:pt idx="6">
                  <c:v>34745246.994444445</c:v>
                </c:pt>
                <c:pt idx="7">
                  <c:v>36040051.845555559</c:v>
                </c:pt>
                <c:pt idx="8">
                  <c:v>37515596.456666663</c:v>
                </c:pt>
                <c:pt idx="9">
                  <c:v>39259666.917777777</c:v>
                </c:pt>
                <c:pt idx="10">
                  <c:v>43574121.59188889</c:v>
                </c:pt>
                <c:pt idx="11">
                  <c:v>45524889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(4-30)'!$B$25:$M$25</c:f>
              <c:numCache>
                <c:formatCode>_("$"* #,##0_);_("$"* \(#,##0\);_("$"* "-"??_);_(@_)</c:formatCode>
                <c:ptCount val="12"/>
                <c:pt idx="0">
                  <c:v>899099</c:v>
                </c:pt>
                <c:pt idx="1">
                  <c:v>6128726</c:v>
                </c:pt>
                <c:pt idx="2">
                  <c:v>24287024</c:v>
                </c:pt>
                <c:pt idx="3">
                  <c:v>26681025</c:v>
                </c:pt>
                <c:pt idx="4">
                  <c:v>31003486</c:v>
                </c:pt>
                <c:pt idx="5">
                  <c:v>31863650</c:v>
                </c:pt>
                <c:pt idx="6">
                  <c:v>36529066</c:v>
                </c:pt>
                <c:pt idx="7">
                  <c:v>37749478</c:v>
                </c:pt>
                <c:pt idx="8">
                  <c:v>40654465</c:v>
                </c:pt>
                <c:pt idx="9">
                  <c:v>44596577</c:v>
                </c:pt>
                <c:pt idx="10">
                  <c:v>45536739</c:v>
                </c:pt>
                <c:pt idx="11">
                  <c:v>56343752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05-06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(4-30)'!$B$35:$M$35</c:f>
              <c:numCache>
                <c:formatCode>_("$"* #,##0_);_("$"* \(#,##0\);_("$"* "-"??_);_(@_)</c:formatCode>
                <c:ptCount val="12"/>
                <c:pt idx="0">
                  <c:v>899099</c:v>
                </c:pt>
                <c:pt idx="1">
                  <c:v>6128726</c:v>
                </c:pt>
                <c:pt idx="2">
                  <c:v>24287024</c:v>
                </c:pt>
                <c:pt idx="3">
                  <c:v>26681025</c:v>
                </c:pt>
                <c:pt idx="4">
                  <c:v>31003486</c:v>
                </c:pt>
                <c:pt idx="5">
                  <c:v>31863650</c:v>
                </c:pt>
                <c:pt idx="6">
                  <c:v>36529066</c:v>
                </c:pt>
                <c:pt idx="7">
                  <c:v>37749478</c:v>
                </c:pt>
                <c:pt idx="8">
                  <c:v>40654465</c:v>
                </c:pt>
                <c:pt idx="9">
                  <c:v>44596577</c:v>
                </c:pt>
                <c:pt idx="10">
                  <c:v>45343637</c:v>
                </c:pt>
                <c:pt idx="11">
                  <c:v>49580685</c:v>
                </c:pt>
              </c:numCache>
            </c:numRef>
          </c:val>
        </c:ser>
        <c:marker val="1"/>
        <c:axId val="142928896"/>
        <c:axId val="142947456"/>
      </c:lineChart>
      <c:catAx>
        <c:axId val="142928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47456"/>
        <c:crosses val="autoZero"/>
        <c:auto val="1"/>
        <c:lblAlgn val="ctr"/>
        <c:lblOffset val="100"/>
        <c:tickLblSkip val="1"/>
        <c:tickMarkSkip val="1"/>
      </c:catAx>
      <c:valAx>
        <c:axId val="142947456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28896"/>
        <c:crosses val="autoZero"/>
        <c:crossBetween val="between"/>
        <c:majorUnit val="10000000"/>
        <c:min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9724497415131"/>
          <c:y val="0.41605938274450355"/>
          <c:w val="0.11799072151011331"/>
          <c:h val="0.155718131553498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711821927648623"/>
          <c:y val="3.141365271910370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280716783067022"/>
          <c:y val="0.24345580857305374"/>
          <c:w val="0.69674270728421062"/>
          <c:h val="0.630890858775332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(4-30)'!$B$15:$M$15</c:f>
              <c:numCache>
                <c:formatCode>_("$"* #,##0_);_("$"* \(#,##0\);_("$"* "-"??_);_(@_)</c:formatCode>
                <c:ptCount val="12"/>
                <c:pt idx="0">
                  <c:v>333280</c:v>
                </c:pt>
                <c:pt idx="1">
                  <c:v>2315597.4</c:v>
                </c:pt>
                <c:pt idx="2">
                  <c:v>7878208.3200000003</c:v>
                </c:pt>
                <c:pt idx="3">
                  <c:v>8986839.2100000009</c:v>
                </c:pt>
                <c:pt idx="4">
                  <c:v>9166592.9600000009</c:v>
                </c:pt>
                <c:pt idx="5">
                  <c:v>9467449.4399999995</c:v>
                </c:pt>
                <c:pt idx="6">
                  <c:v>9994533.5</c:v>
                </c:pt>
                <c:pt idx="7">
                  <c:v>10656160.91</c:v>
                </c:pt>
                <c:pt idx="8">
                  <c:v>11112738.860000001</c:v>
                </c:pt>
                <c:pt idx="9">
                  <c:v>12043075.809999999</c:v>
                </c:pt>
                <c:pt idx="10">
                  <c:v>12257448.299999999</c:v>
                </c:pt>
                <c:pt idx="11">
                  <c:v>12785725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(4-30)'!$B$25:$M$25</c:f>
              <c:numCache>
                <c:formatCode>_("$"* #,##0_);_("$"* \(#,##0\);_("$"* "-"??_);_(@_)</c:formatCode>
                <c:ptCount val="12"/>
                <c:pt idx="0">
                  <c:v>333280</c:v>
                </c:pt>
                <c:pt idx="1">
                  <c:v>2149297</c:v>
                </c:pt>
                <c:pt idx="2">
                  <c:v>8235609</c:v>
                </c:pt>
                <c:pt idx="3">
                  <c:v>8788502</c:v>
                </c:pt>
                <c:pt idx="4">
                  <c:v>9385881</c:v>
                </c:pt>
                <c:pt idx="5">
                  <c:v>9799565</c:v>
                </c:pt>
                <c:pt idx="6">
                  <c:v>10334411</c:v>
                </c:pt>
                <c:pt idx="7">
                  <c:v>10702973</c:v>
                </c:pt>
                <c:pt idx="8">
                  <c:v>11035133</c:v>
                </c:pt>
                <c:pt idx="9">
                  <c:v>11958425</c:v>
                </c:pt>
                <c:pt idx="10">
                  <c:v>12200332.58</c:v>
                </c:pt>
                <c:pt idx="11">
                  <c:v>12807877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(4-30)'!$B$35:$M$35</c:f>
              <c:numCache>
                <c:formatCode>_("$"* #,##0_);_("$"* \(#,##0\);_("$"* "-"??_);_(@_)</c:formatCode>
                <c:ptCount val="12"/>
                <c:pt idx="0">
                  <c:v>333280</c:v>
                </c:pt>
                <c:pt idx="1">
                  <c:v>2149297</c:v>
                </c:pt>
                <c:pt idx="2">
                  <c:v>8235609</c:v>
                </c:pt>
                <c:pt idx="3">
                  <c:v>8788502</c:v>
                </c:pt>
                <c:pt idx="4">
                  <c:v>9385881</c:v>
                </c:pt>
                <c:pt idx="5">
                  <c:v>9799565</c:v>
                </c:pt>
                <c:pt idx="6">
                  <c:v>10334411</c:v>
                </c:pt>
                <c:pt idx="7">
                  <c:v>10702973</c:v>
                </c:pt>
                <c:pt idx="8">
                  <c:v>11035133</c:v>
                </c:pt>
                <c:pt idx="9">
                  <c:v>11958425</c:v>
                </c:pt>
                <c:pt idx="10">
                  <c:v>12209394</c:v>
                </c:pt>
                <c:pt idx="11">
                  <c:v>12680933</c:v>
                </c:pt>
              </c:numCache>
            </c:numRef>
          </c:val>
        </c:ser>
        <c:marker val="1"/>
        <c:axId val="143063680"/>
        <c:axId val="101339904"/>
      </c:lineChart>
      <c:catAx>
        <c:axId val="143063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39904"/>
        <c:crosses val="autoZero"/>
        <c:auto val="1"/>
        <c:lblAlgn val="ctr"/>
        <c:lblOffset val="100"/>
        <c:tickLblSkip val="1"/>
        <c:tickMarkSkip val="1"/>
      </c:catAx>
      <c:valAx>
        <c:axId val="101339904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63680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63763735221521"/>
          <c:y val="0.46858698639329699"/>
          <c:w val="0.12656657092752746"/>
          <c:h val="0.1675394811685531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25188000748943584"/>
          <c:y val="4.724421558249154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907283965876565"/>
          <c:y val="0.22309768469509897"/>
          <c:w val="0.69047703545611516"/>
          <c:h val="0.5958020520680879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(4-30)'!$B$46:$M$46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1003992.72</c:v>
                </c:pt>
                <c:pt idx="2">
                  <c:v>1794835.92</c:v>
                </c:pt>
                <c:pt idx="3">
                  <c:v>3018554.6399999997</c:v>
                </c:pt>
                <c:pt idx="4">
                  <c:v>3884304.68</c:v>
                </c:pt>
                <c:pt idx="5">
                  <c:v>6098377.8399999999</c:v>
                </c:pt>
                <c:pt idx="6">
                  <c:v>6964127.8799999999</c:v>
                </c:pt>
                <c:pt idx="7">
                  <c:v>7904784.7599999998</c:v>
                </c:pt>
                <c:pt idx="8">
                  <c:v>8845441.6400000006</c:v>
                </c:pt>
                <c:pt idx="9">
                  <c:v>10218974.039999999</c:v>
                </c:pt>
                <c:pt idx="10">
                  <c:v>11534165.120000001</c:v>
                </c:pt>
                <c:pt idx="11">
                  <c:v>17596224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(4-30)'!$B$54:$M$54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942463</c:v>
                </c:pt>
                <c:pt idx="2">
                  <c:v>1726534</c:v>
                </c:pt>
                <c:pt idx="3">
                  <c:v>2767641</c:v>
                </c:pt>
                <c:pt idx="4">
                  <c:v>3620672</c:v>
                </c:pt>
                <c:pt idx="5">
                  <c:v>5484313</c:v>
                </c:pt>
                <c:pt idx="6">
                  <c:v>6295586</c:v>
                </c:pt>
                <c:pt idx="7">
                  <c:v>7094091</c:v>
                </c:pt>
                <c:pt idx="8">
                  <c:v>7947451</c:v>
                </c:pt>
                <c:pt idx="9">
                  <c:v>9021633</c:v>
                </c:pt>
                <c:pt idx="10">
                  <c:v>10276215</c:v>
                </c:pt>
                <c:pt idx="11">
                  <c:v>16840066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04-05 (4-30)'!$B$6:$M$6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(4-30)'!$B$62:$M$62</c:f>
              <c:numCache>
                <c:formatCode>_("$"* #,##0_);_("$"* \(#,##0\);_("$"* "-"??_);_(@_)</c:formatCode>
                <c:ptCount val="12"/>
                <c:pt idx="0">
                  <c:v>379809</c:v>
                </c:pt>
                <c:pt idx="1">
                  <c:v>942463</c:v>
                </c:pt>
                <c:pt idx="2">
                  <c:v>1726534</c:v>
                </c:pt>
                <c:pt idx="3">
                  <c:v>2767641</c:v>
                </c:pt>
                <c:pt idx="4">
                  <c:v>3620672</c:v>
                </c:pt>
                <c:pt idx="5">
                  <c:v>5484313</c:v>
                </c:pt>
                <c:pt idx="6">
                  <c:v>6295586</c:v>
                </c:pt>
                <c:pt idx="7">
                  <c:v>7094091</c:v>
                </c:pt>
                <c:pt idx="8">
                  <c:v>7947451</c:v>
                </c:pt>
                <c:pt idx="9">
                  <c:v>9021633</c:v>
                </c:pt>
                <c:pt idx="10">
                  <c:v>10127718</c:v>
                </c:pt>
                <c:pt idx="11">
                  <c:v>11626816</c:v>
                </c:pt>
              </c:numCache>
            </c:numRef>
          </c:val>
        </c:ser>
        <c:marker val="1"/>
        <c:axId val="101369344"/>
        <c:axId val="101371264"/>
      </c:lineChart>
      <c:catAx>
        <c:axId val="10136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71264"/>
        <c:crosses val="autoZero"/>
        <c:auto val="1"/>
        <c:lblAlgn val="ctr"/>
        <c:lblOffset val="100"/>
        <c:tickLblSkip val="1"/>
        <c:tickMarkSkip val="1"/>
      </c:catAx>
      <c:valAx>
        <c:axId val="101371264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69344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86569679288159"/>
          <c:y val="0.43307197617283921"/>
          <c:w val="0.12656657092752746"/>
          <c:h val="0.1679794331821921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655129789864027"/>
          <c:y val="6.00001302086159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585908529048208"/>
          <c:y val="0.21333379629730098"/>
          <c:w val="0.67243510506798521"/>
          <c:h val="0.66889034047382911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(Original)'!$B$29:$M$29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(Original)'!$B$36:$M$36</c:f>
              <c:numCache>
                <c:formatCode>_("$"* #,##0_);_("$"* \(#,##0\);_("$"* "-"??_);_(@_)</c:formatCode>
                <c:ptCount val="12"/>
                <c:pt idx="0">
                  <c:v>473869</c:v>
                </c:pt>
                <c:pt idx="1">
                  <c:v>1138954.3166959886</c:v>
                </c:pt>
                <c:pt idx="2">
                  <c:v>1922964.4302108067</c:v>
                </c:pt>
                <c:pt idx="3">
                  <c:v>2545102.9769167695</c:v>
                </c:pt>
                <c:pt idx="4">
                  <c:v>3169463.1455923184</c:v>
                </c:pt>
                <c:pt idx="5">
                  <c:v>3759553.8214987381</c:v>
                </c:pt>
                <c:pt idx="6">
                  <c:v>4337028.2280177921</c:v>
                </c:pt>
                <c:pt idx="7">
                  <c:v>4954647.1157815643</c:v>
                </c:pt>
                <c:pt idx="8">
                  <c:v>5764608.7118545417</c:v>
                </c:pt>
                <c:pt idx="9">
                  <c:v>6551928.4396934845</c:v>
                </c:pt>
                <c:pt idx="10">
                  <c:v>7301899.2151634553</c:v>
                </c:pt>
                <c:pt idx="11">
                  <c:v>8150616</c:v>
                </c:pt>
              </c:numCache>
            </c:numRef>
          </c:val>
        </c:ser>
        <c:ser>
          <c:idx val="2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(Original)'!$B$29:$M$29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(Original)'!$B$44:$F$44</c:f>
              <c:numCache>
                <c:formatCode>_("$"* #,##0_);_("$"* \(#,##0\);_("$"* "-"??_);_(@_)</c:formatCode>
                <c:ptCount val="5"/>
                <c:pt idx="0">
                  <c:v>473869</c:v>
                </c:pt>
                <c:pt idx="1">
                  <c:v>1076928</c:v>
                </c:pt>
                <c:pt idx="2">
                  <c:v>1796866</c:v>
                </c:pt>
                <c:pt idx="3">
                  <c:v>2353783</c:v>
                </c:pt>
                <c:pt idx="4">
                  <c:v>2866661</c:v>
                </c:pt>
              </c:numCache>
            </c:numRef>
          </c:val>
        </c:ser>
        <c:marker val="1"/>
        <c:axId val="142603776"/>
        <c:axId val="142605696"/>
      </c:lineChart>
      <c:catAx>
        <c:axId val="142603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05696"/>
        <c:crosses val="autoZero"/>
        <c:auto val="1"/>
        <c:lblAlgn val="ctr"/>
        <c:lblOffset val="100"/>
        <c:tickLblSkip val="1"/>
        <c:tickMarkSkip val="1"/>
      </c:catAx>
      <c:valAx>
        <c:axId val="142605696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03776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683559950556241"/>
          <c:y val="0.71333488136910017"/>
          <c:w val="0.13226205191594562"/>
          <c:h val="0.14222253086486733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981458590852904"/>
          <c:y val="3.10262529832935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585908529048208"/>
          <c:y val="0.27684964200477324"/>
          <c:w val="0.66378244746600745"/>
          <c:h val="0.61575178997613367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'General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(Original)'!$B$15:$M$15</c:f>
              <c:numCache>
                <c:formatCode>_("$"* #,##0_);_("$"* \(#,##0\);_("$"* "-"??_);_(@_)</c:formatCode>
                <c:ptCount val="12"/>
                <c:pt idx="0">
                  <c:v>18673</c:v>
                </c:pt>
                <c:pt idx="1">
                  <c:v>268832.20067221386</c:v>
                </c:pt>
                <c:pt idx="2">
                  <c:v>987788.57726080273</c:v>
                </c:pt>
                <c:pt idx="3">
                  <c:v>1282943.7379629777</c:v>
                </c:pt>
                <c:pt idx="4">
                  <c:v>1932207.4129407171</c:v>
                </c:pt>
                <c:pt idx="5">
                  <c:v>5075608.3231663723</c:v>
                </c:pt>
                <c:pt idx="6">
                  <c:v>5522644.8855248112</c:v>
                </c:pt>
                <c:pt idx="7">
                  <c:v>5843755.3942403272</c:v>
                </c:pt>
                <c:pt idx="8">
                  <c:v>6131408.8619973976</c:v>
                </c:pt>
                <c:pt idx="9">
                  <c:v>6925657.7210268565</c:v>
                </c:pt>
                <c:pt idx="10">
                  <c:v>7196219.7553928895</c:v>
                </c:pt>
                <c:pt idx="11">
                  <c:v>7825175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'General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'General 05-06 (Original)'!$B$25:$F$25</c:f>
              <c:numCache>
                <c:formatCode>_("$"* #,##0_);_("$"* \(#,##0\);_("$"* "-"??_);_(@_)</c:formatCode>
                <c:ptCount val="5"/>
                <c:pt idx="0">
                  <c:v>18673</c:v>
                </c:pt>
                <c:pt idx="1">
                  <c:v>328759</c:v>
                </c:pt>
                <c:pt idx="2">
                  <c:v>998007</c:v>
                </c:pt>
                <c:pt idx="3">
                  <c:v>1352059</c:v>
                </c:pt>
                <c:pt idx="4">
                  <c:v>1801781</c:v>
                </c:pt>
              </c:numCache>
            </c:numRef>
          </c:val>
        </c:ser>
        <c:marker val="1"/>
        <c:axId val="142643584"/>
        <c:axId val="142645504"/>
      </c:lineChart>
      <c:catAx>
        <c:axId val="142643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45504"/>
        <c:crosses val="autoZero"/>
        <c:auto val="1"/>
        <c:lblAlgn val="ctr"/>
        <c:lblOffset val="100"/>
        <c:tickLblSkip val="1"/>
        <c:tickMarkSkip val="1"/>
      </c:catAx>
      <c:valAx>
        <c:axId val="142645504"/>
        <c:scaling>
          <c:orientation val="minMax"/>
          <c:max val="8500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43584"/>
        <c:crosses val="autoZero"/>
        <c:crossBetween val="between"/>
        <c:maj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784919653893699"/>
          <c:y val="0.54892601431980903"/>
          <c:w val="0.1100123609394314"/>
          <c:h val="0.1360381861575178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769265790339306"/>
          <c:y val="4.25532897303711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0955723425348085"/>
          <c:y val="0.25768381003391427"/>
          <c:w val="0.71911503759997542"/>
          <c:h val="0.61938677274206921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(template)'!$B$50:$M$50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1014626.36</c:v>
                </c:pt>
                <c:pt idx="2">
                  <c:v>2001603.72</c:v>
                </c:pt>
                <c:pt idx="3">
                  <c:v>18561463.131999999</c:v>
                </c:pt>
                <c:pt idx="4">
                  <c:v>19460005.131999999</c:v>
                </c:pt>
                <c:pt idx="5">
                  <c:v>22051804.131999999</c:v>
                </c:pt>
                <c:pt idx="6">
                  <c:v>23742710.131999999</c:v>
                </c:pt>
                <c:pt idx="7">
                  <c:v>26342192.131999999</c:v>
                </c:pt>
                <c:pt idx="8">
                  <c:v>27636133.131999999</c:v>
                </c:pt>
                <c:pt idx="9">
                  <c:v>40285081.131999999</c:v>
                </c:pt>
                <c:pt idx="10">
                  <c:v>42375952.131999999</c:v>
                </c:pt>
                <c:pt idx="11">
                  <c:v>47260707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(template)'!$B$58:$M$58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1225980</c:v>
                </c:pt>
                <c:pt idx="2">
                  <c:v>2933734</c:v>
                </c:pt>
                <c:pt idx="3">
                  <c:v>17338677</c:v>
                </c:pt>
                <c:pt idx="4">
                  <c:v>19195231</c:v>
                </c:pt>
                <c:pt idx="5">
                  <c:v>22919872</c:v>
                </c:pt>
                <c:pt idx="6">
                  <c:v>25408127</c:v>
                </c:pt>
                <c:pt idx="7">
                  <c:v>27790273</c:v>
                </c:pt>
                <c:pt idx="8">
                  <c:v>30227159</c:v>
                </c:pt>
                <c:pt idx="9">
                  <c:v>45691248</c:v>
                </c:pt>
                <c:pt idx="10">
                  <c:v>48950458.449999996</c:v>
                </c:pt>
                <c:pt idx="11">
                  <c:v>58468908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(template)'!$B$68:$M$68</c:f>
              <c:numCache>
                <c:formatCode>_("$"* #,##0_);_("$"* \(#,##0\);_("$"* "-"??_);_(@_)</c:formatCode>
                <c:ptCount val="12"/>
                <c:pt idx="0">
                  <c:v>417778</c:v>
                </c:pt>
                <c:pt idx="1">
                  <c:v>1225980</c:v>
                </c:pt>
                <c:pt idx="2">
                  <c:v>2933734</c:v>
                </c:pt>
                <c:pt idx="3">
                  <c:v>17338677</c:v>
                </c:pt>
                <c:pt idx="4">
                  <c:v>19195231</c:v>
                </c:pt>
                <c:pt idx="5">
                  <c:v>22919872</c:v>
                </c:pt>
                <c:pt idx="6">
                  <c:v>25408127</c:v>
                </c:pt>
                <c:pt idx="7">
                  <c:v>27790273</c:v>
                </c:pt>
                <c:pt idx="8">
                  <c:v>30227159</c:v>
                </c:pt>
                <c:pt idx="9">
                  <c:v>45691248</c:v>
                </c:pt>
                <c:pt idx="10">
                  <c:v>48565959</c:v>
                </c:pt>
                <c:pt idx="11">
                  <c:v>53382364</c:v>
                </c:pt>
              </c:numCache>
            </c:numRef>
          </c:val>
        </c:ser>
        <c:marker val="1"/>
        <c:axId val="142696832"/>
        <c:axId val="142698752"/>
      </c:lineChart>
      <c:catAx>
        <c:axId val="142696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98752"/>
        <c:crosses val="autoZero"/>
        <c:auto val="1"/>
        <c:lblAlgn val="ctr"/>
        <c:lblOffset val="100"/>
        <c:tickLblSkip val="1"/>
        <c:tickMarkSkip val="1"/>
      </c:catAx>
      <c:valAx>
        <c:axId val="142698752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96832"/>
        <c:crosses val="autoZero"/>
        <c:crossBetween val="between"/>
        <c:majorUnit val="10000000"/>
        <c:minorUnit val="5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8238042502143"/>
          <c:y val="0.48227061694420653"/>
          <c:w val="0.117715751697889"/>
          <c:h val="0.1513005857079863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574768394266799"/>
          <c:y val="3.163024547180436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500007130279331"/>
          <c:y val="0.24574267635786468"/>
          <c:w val="0.69626207940621321"/>
          <c:h val="0.6058408555753297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(template)'!$B$15:$M$15</c:f>
              <c:numCache>
                <c:formatCode>_("$"* #,##0_);_("$"* \(#,##0\);_("$"* "-"??_);_(@_)</c:formatCode>
                <c:ptCount val="12"/>
                <c:pt idx="0">
                  <c:v>899099</c:v>
                </c:pt>
                <c:pt idx="1">
                  <c:v>6824658.9400000004</c:v>
                </c:pt>
                <c:pt idx="2">
                  <c:v>23627122.440000001</c:v>
                </c:pt>
                <c:pt idx="3">
                  <c:v>26945418.681111112</c:v>
                </c:pt>
                <c:pt idx="4">
                  <c:v>31737450.700222224</c:v>
                </c:pt>
                <c:pt idx="5">
                  <c:v>32908482.68333333</c:v>
                </c:pt>
                <c:pt idx="6">
                  <c:v>34745246.994444445</c:v>
                </c:pt>
                <c:pt idx="7">
                  <c:v>36040051.845555559</c:v>
                </c:pt>
                <c:pt idx="8">
                  <c:v>37515596.456666663</c:v>
                </c:pt>
                <c:pt idx="9">
                  <c:v>39259666.917777777</c:v>
                </c:pt>
                <c:pt idx="10">
                  <c:v>43574121.59188889</c:v>
                </c:pt>
                <c:pt idx="11">
                  <c:v>45524889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(template)'!$B$25:$M$25</c:f>
              <c:numCache>
                <c:formatCode>_("$"* #,##0_);_("$"* \(#,##0\);_("$"* "-"??_);_(@_)</c:formatCode>
                <c:ptCount val="12"/>
                <c:pt idx="0">
                  <c:v>899099</c:v>
                </c:pt>
                <c:pt idx="1">
                  <c:v>6128726</c:v>
                </c:pt>
                <c:pt idx="2">
                  <c:v>24287024</c:v>
                </c:pt>
                <c:pt idx="3">
                  <c:v>26681025</c:v>
                </c:pt>
                <c:pt idx="4">
                  <c:v>31003486</c:v>
                </c:pt>
                <c:pt idx="5">
                  <c:v>31863650</c:v>
                </c:pt>
                <c:pt idx="6">
                  <c:v>36529066</c:v>
                </c:pt>
                <c:pt idx="7">
                  <c:v>37749478</c:v>
                </c:pt>
                <c:pt idx="8">
                  <c:v>40654465</c:v>
                </c:pt>
                <c:pt idx="9">
                  <c:v>44596577</c:v>
                </c:pt>
                <c:pt idx="10">
                  <c:v>45536739</c:v>
                </c:pt>
                <c:pt idx="11">
                  <c:v>56343752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'Special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04-05 (template)'!$B$39:$M$39</c:f>
              <c:numCache>
                <c:formatCode>_("$"* #,##0_);_("$"* \(#,##0\);_("$"* "-"??_);_(@_)</c:formatCode>
                <c:ptCount val="12"/>
                <c:pt idx="0">
                  <c:v>899099.02916548913</c:v>
                </c:pt>
                <c:pt idx="1">
                  <c:v>6128726.1988071296</c:v>
                </c:pt>
                <c:pt idx="2">
                  <c:v>24287024.795629408</c:v>
                </c:pt>
                <c:pt idx="3">
                  <c:v>26681026.001331862</c:v>
                </c:pt>
                <c:pt idx="4">
                  <c:v>31003487.738701895</c:v>
                </c:pt>
                <c:pt idx="5">
                  <c:v>31863651.839668382</c:v>
                </c:pt>
                <c:pt idx="6">
                  <c:v>36529068.310276888</c:v>
                </c:pt>
                <c:pt idx="7">
                  <c:v>37749480.412121169</c:v>
                </c:pt>
                <c:pt idx="8">
                  <c:v>40654468.009585954</c:v>
                </c:pt>
                <c:pt idx="9">
                  <c:v>44596580.401616022</c:v>
                </c:pt>
                <c:pt idx="10">
                  <c:v>45343640.512643479</c:v>
                </c:pt>
                <c:pt idx="11">
                  <c:v>49580685</c:v>
                </c:pt>
              </c:numCache>
            </c:numRef>
          </c:val>
        </c:ser>
        <c:marker val="1"/>
        <c:axId val="142756864"/>
        <c:axId val="142767232"/>
      </c:lineChart>
      <c:catAx>
        <c:axId val="142756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67232"/>
        <c:crosses val="autoZero"/>
        <c:auto val="1"/>
        <c:lblAlgn val="ctr"/>
        <c:lblOffset val="100"/>
        <c:tickLblSkip val="1"/>
        <c:tickMarkSkip val="1"/>
      </c:catAx>
      <c:valAx>
        <c:axId val="142767232"/>
        <c:scaling>
          <c:orientation val="minMax"/>
          <c:max val="60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56864"/>
        <c:crosses val="autoZero"/>
        <c:crossBetween val="between"/>
        <c:majorUnit val="10000000"/>
        <c:min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9724497415131"/>
          <c:y val="0.41605938274450355"/>
          <c:w val="0.11799072151011331"/>
          <c:h val="0.155718131553498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Expenditures</a:t>
            </a:r>
            <a:endParaRPr lang="en-US"/>
          </a:p>
        </c:rich>
      </c:tx>
      <c:layout>
        <c:manualLayout>
          <c:xMode val="edge"/>
          <c:yMode val="edge"/>
          <c:x val="0.30769265790339306"/>
          <c:y val="4.25532897303711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0955723425348085"/>
          <c:y val="0.25768381003391427"/>
          <c:w val="0.71911503759997542"/>
          <c:h val="0.61702270109038193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(Original)'!$B$36:$M$36</c:f>
              <c:numCache>
                <c:formatCode>_("$"* #,##0_);_("$"* \(#,##0\);_("$"* "-"??_);_(@_)</c:formatCode>
                <c:ptCount val="12"/>
                <c:pt idx="0">
                  <c:v>363313</c:v>
                </c:pt>
                <c:pt idx="1">
                  <c:v>1131915.1820901982</c:v>
                </c:pt>
                <c:pt idx="2">
                  <c:v>2745480.8066075863</c:v>
                </c:pt>
                <c:pt idx="3">
                  <c:v>17351457.327747665</c:v>
                </c:pt>
                <c:pt idx="4">
                  <c:v>18763971.011837512</c:v>
                </c:pt>
                <c:pt idx="5">
                  <c:v>22234456.655832395</c:v>
                </c:pt>
                <c:pt idx="6">
                  <c:v>24388325.845924694</c:v>
                </c:pt>
                <c:pt idx="7">
                  <c:v>26384999.883741062</c:v>
                </c:pt>
                <c:pt idx="8">
                  <c:v>28777285.702156805</c:v>
                </c:pt>
                <c:pt idx="9">
                  <c:v>44572059.712098815</c:v>
                </c:pt>
                <c:pt idx="10">
                  <c:v>47130780.772487327</c:v>
                </c:pt>
                <c:pt idx="11">
                  <c:v>51859734</c:v>
                </c:pt>
              </c:numCache>
            </c:numRef>
          </c:val>
        </c:ser>
        <c:ser>
          <c:idx val="2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(Original)'!$B$44:$F$44</c:f>
              <c:numCache>
                <c:formatCode>_("$"* #,##0_);_("$"* \(#,##0\);_("$"* "-"??_);_(@_)</c:formatCode>
                <c:ptCount val="5"/>
                <c:pt idx="0">
                  <c:v>363313</c:v>
                </c:pt>
                <c:pt idx="1">
                  <c:v>1090474</c:v>
                </c:pt>
                <c:pt idx="2">
                  <c:v>2764732</c:v>
                </c:pt>
                <c:pt idx="3">
                  <c:v>17171990</c:v>
                </c:pt>
                <c:pt idx="4">
                  <c:v>18451962</c:v>
                </c:pt>
              </c:numCache>
            </c:numRef>
          </c:val>
        </c:ser>
        <c:marker val="1"/>
        <c:axId val="142984704"/>
        <c:axId val="142986624"/>
      </c:lineChart>
      <c:catAx>
        <c:axId val="14298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86624"/>
        <c:crosses val="autoZero"/>
        <c:auto val="1"/>
        <c:lblAlgn val="ctr"/>
        <c:lblOffset val="100"/>
        <c:tickLblSkip val="1"/>
        <c:tickMarkSkip val="1"/>
      </c:catAx>
      <c:valAx>
        <c:axId val="142986624"/>
        <c:scaling>
          <c:orientation val="minMax"/>
          <c:max val="55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84704"/>
        <c:crosses val="autoZero"/>
        <c:crossBetween val="between"/>
        <c:majorUnit val="5000000"/>
        <c:minorUnit val="5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97533664697223"/>
          <c:y val="0.55319276649482518"/>
          <c:w val="0.10606072677730594"/>
          <c:h val="0.1016550810225533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574768394266799"/>
          <c:y val="3.163024547180436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500007130279331"/>
          <c:y val="0.24574267635786468"/>
          <c:w val="0.69626207940621321"/>
          <c:h val="0.60584085557532974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'Special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(Original)'!$B$15:$M$15</c:f>
              <c:numCache>
                <c:formatCode>_("$"* #,##0_);_("$"* \(#,##0\);_("$"* "-"??_);_(@_)</c:formatCode>
                <c:ptCount val="12"/>
                <c:pt idx="0">
                  <c:v>18300</c:v>
                </c:pt>
                <c:pt idx="1">
                  <c:v>6472871.4797286158</c:v>
                </c:pt>
                <c:pt idx="2">
                  <c:v>25663183.247490227</c:v>
                </c:pt>
                <c:pt idx="3">
                  <c:v>27455704.744940158</c:v>
                </c:pt>
                <c:pt idx="4">
                  <c:v>35112487.66923482</c:v>
                </c:pt>
                <c:pt idx="5">
                  <c:v>36084833.780048713</c:v>
                </c:pt>
                <c:pt idx="6">
                  <c:v>37972348.349970363</c:v>
                </c:pt>
                <c:pt idx="7">
                  <c:v>39344807.256694302</c:v>
                </c:pt>
                <c:pt idx="8">
                  <c:v>42944973.043497555</c:v>
                </c:pt>
                <c:pt idx="9">
                  <c:v>45595134.16578079</c:v>
                </c:pt>
                <c:pt idx="10">
                  <c:v>46454135.211299598</c:v>
                </c:pt>
                <c:pt idx="11">
                  <c:v>47932808</c:v>
                </c:pt>
              </c:numCache>
            </c:numRef>
          </c:val>
        </c:ser>
        <c:ser>
          <c:idx val="2"/>
          <c:order val="1"/>
          <c:tx>
            <c:v>Actual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'Special 05-06 (Original)'!$B$6:$M$6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'Special 05-06 (Original)'!$B$25:$F$25</c:f>
              <c:numCache>
                <c:formatCode>_("$"* #,##0_);_("$"* \(#,##0\);_("$"* "-"??_);_(@_)</c:formatCode>
                <c:ptCount val="5"/>
                <c:pt idx="0">
                  <c:v>18300</c:v>
                </c:pt>
                <c:pt idx="1">
                  <c:v>7062224</c:v>
                </c:pt>
                <c:pt idx="2">
                  <c:v>25544754</c:v>
                </c:pt>
                <c:pt idx="3">
                  <c:v>27842883</c:v>
                </c:pt>
                <c:pt idx="4">
                  <c:v>30599012</c:v>
                </c:pt>
              </c:numCache>
            </c:numRef>
          </c:val>
        </c:ser>
        <c:marker val="1"/>
        <c:axId val="143031680"/>
        <c:axId val="143042048"/>
      </c:lineChart>
      <c:catAx>
        <c:axId val="143031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42048"/>
        <c:crosses val="autoZero"/>
        <c:auto val="1"/>
        <c:lblAlgn val="ctr"/>
        <c:lblOffset val="100"/>
        <c:tickLblSkip val="1"/>
        <c:tickMarkSkip val="1"/>
      </c:catAx>
      <c:valAx>
        <c:axId val="143042048"/>
        <c:scaling>
          <c:orientation val="minMax"/>
          <c:max val="55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31680"/>
        <c:crosses val="autoZero"/>
        <c:crossBetween val="between"/>
        <c:majorUnit val="5000000"/>
        <c:minorUnit val="1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65469939597983"/>
          <c:y val="0.47202058627154203"/>
          <c:w val="0.10630847185564664"/>
          <c:h val="0.1046231196375067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Revenue</a:t>
            </a:r>
            <a:endParaRPr lang="en-US"/>
          </a:p>
        </c:rich>
      </c:tx>
      <c:layout>
        <c:manualLayout>
          <c:xMode val="edge"/>
          <c:yMode val="edge"/>
          <c:x val="0.34711821927648623"/>
          <c:y val="3.141365271910370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2280716783067022"/>
          <c:y val="0.24345580857305374"/>
          <c:w val="0.69924897601544878"/>
          <c:h val="0.6308908587753328"/>
        </c:manualLayout>
      </c:layout>
      <c:lineChart>
        <c:grouping val="standard"/>
        <c:ser>
          <c:idx val="0"/>
          <c:order val="0"/>
          <c:tx>
            <c:v>Original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(template)'!$B$15:$M$15</c:f>
              <c:numCache>
                <c:formatCode>_("$"* #,##0_);_("$"* \(#,##0\);_("$"* "-"??_);_(@_)</c:formatCode>
                <c:ptCount val="12"/>
                <c:pt idx="0">
                  <c:v>333280</c:v>
                </c:pt>
                <c:pt idx="1">
                  <c:v>2315597.4</c:v>
                </c:pt>
                <c:pt idx="2">
                  <c:v>7878208.3200000003</c:v>
                </c:pt>
                <c:pt idx="3">
                  <c:v>8986839.2100000009</c:v>
                </c:pt>
                <c:pt idx="4">
                  <c:v>9166592.9600000009</c:v>
                </c:pt>
                <c:pt idx="5">
                  <c:v>9467449.4399999995</c:v>
                </c:pt>
                <c:pt idx="6">
                  <c:v>9994533.5</c:v>
                </c:pt>
                <c:pt idx="7">
                  <c:v>10656160.91</c:v>
                </c:pt>
                <c:pt idx="8">
                  <c:v>11112738.860000001</c:v>
                </c:pt>
                <c:pt idx="9">
                  <c:v>12043075.809999999</c:v>
                </c:pt>
                <c:pt idx="10">
                  <c:v>12257448.299999999</c:v>
                </c:pt>
                <c:pt idx="11">
                  <c:v>12785725</c:v>
                </c:pt>
              </c:numCache>
            </c:numRef>
          </c:val>
        </c:ser>
        <c:ser>
          <c:idx val="2"/>
          <c:order val="1"/>
          <c:tx>
            <c:v>Amended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(template)'!$B$25:$M$25</c:f>
              <c:numCache>
                <c:formatCode>_("$"* #,##0_);_("$"* \(#,##0\);_("$"* "-"??_);_(@_)</c:formatCode>
                <c:ptCount val="12"/>
                <c:pt idx="0">
                  <c:v>333280</c:v>
                </c:pt>
                <c:pt idx="1">
                  <c:v>2149297</c:v>
                </c:pt>
                <c:pt idx="2">
                  <c:v>8235609</c:v>
                </c:pt>
                <c:pt idx="3">
                  <c:v>8788502</c:v>
                </c:pt>
                <c:pt idx="4">
                  <c:v>9385881</c:v>
                </c:pt>
                <c:pt idx="5">
                  <c:v>9799565</c:v>
                </c:pt>
                <c:pt idx="6">
                  <c:v>10334411</c:v>
                </c:pt>
                <c:pt idx="7">
                  <c:v>10702973</c:v>
                </c:pt>
                <c:pt idx="8">
                  <c:v>11035133</c:v>
                </c:pt>
                <c:pt idx="9">
                  <c:v>11958425</c:v>
                </c:pt>
                <c:pt idx="10">
                  <c:v>12200332.58</c:v>
                </c:pt>
                <c:pt idx="11">
                  <c:v>12807877</c:v>
                </c:pt>
              </c:numCache>
            </c:numRef>
          </c:val>
        </c:ser>
        <c:ser>
          <c:idx val="1"/>
          <c:order val="2"/>
          <c:tx>
            <c:v>Actual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'Vocational 04-05 (template)'!$B$6:$M$6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'Vocational 04-05 (template)'!$B$39:$M$39</c:f>
              <c:numCache>
                <c:formatCode>_("$"* #,##0_);_("$"* \(#,##0\);_("$"* "-"??_);_(@_)</c:formatCode>
                <c:ptCount val="12"/>
                <c:pt idx="0">
                  <c:v>333280.02858421055</c:v>
                </c:pt>
                <c:pt idx="1">
                  <c:v>2149297.1837565284</c:v>
                </c:pt>
                <c:pt idx="2">
                  <c:v>8235610.0711642215</c:v>
                </c:pt>
                <c:pt idx="3">
                  <c:v>8788503.5631896481</c:v>
                </c:pt>
                <c:pt idx="4">
                  <c:v>9385882.9194227662</c:v>
                </c:pt>
                <c:pt idx="5">
                  <c:v>9799567.2571817953</c:v>
                </c:pt>
                <c:pt idx="6">
                  <c:v>10334413.698253963</c:v>
                </c:pt>
                <c:pt idx="7">
                  <c:v>10702975.843087966</c:v>
                </c:pt>
                <c:pt idx="8">
                  <c:v>11035136.103753986</c:v>
                </c:pt>
                <c:pt idx="9">
                  <c:v>11958428.404790897</c:v>
                </c:pt>
                <c:pt idx="10">
                  <c:v>12209397.53516621</c:v>
                </c:pt>
                <c:pt idx="11">
                  <c:v>12680933</c:v>
                </c:pt>
              </c:numCache>
            </c:numRef>
          </c:val>
        </c:ser>
        <c:marker val="1"/>
        <c:axId val="143110912"/>
        <c:axId val="143112832"/>
      </c:lineChart>
      <c:catAx>
        <c:axId val="143110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12832"/>
        <c:crosses val="autoZero"/>
        <c:auto val="1"/>
        <c:lblAlgn val="ctr"/>
        <c:lblOffset val="100"/>
        <c:tickLblSkip val="1"/>
        <c:tickMarkSkip val="1"/>
      </c:catAx>
      <c:valAx>
        <c:axId val="143112832"/>
        <c:scaling>
          <c:orientation val="minMax"/>
          <c:max val="180000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10912"/>
        <c:crosses val="autoZero"/>
        <c:crossBetween val="between"/>
        <c:majorUnit val="20000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63763735221521"/>
          <c:y val="0.47120479078655564"/>
          <c:w val="0.12656657092752746"/>
          <c:h val="0.1675394811685531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104</xdr:row>
      <xdr:rowOff>161925</xdr:rowOff>
    </xdr:from>
    <xdr:to>
      <xdr:col>7</xdr:col>
      <xdr:colOff>942975</xdr:colOff>
      <xdr:row>127</xdr:row>
      <xdr:rowOff>19050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876300</xdr:colOff>
      <xdr:row>80</xdr:row>
      <xdr:rowOff>152400</xdr:rowOff>
    </xdr:from>
    <xdr:to>
      <xdr:col>7</xdr:col>
      <xdr:colOff>942975</xdr:colOff>
      <xdr:row>102</xdr:row>
      <xdr:rowOff>19050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542925</xdr:colOff>
      <xdr:row>73</xdr:row>
      <xdr:rowOff>190500</xdr:rowOff>
    </xdr:from>
    <xdr:to>
      <xdr:col>6</xdr:col>
      <xdr:colOff>619125</xdr:colOff>
      <xdr:row>78</xdr:row>
      <xdr:rowOff>0</xdr:rowOff>
    </xdr:to>
    <xdr:sp macro="" textlink="" fLocksText="0">
      <xdr:nvSpPr>
        <xdr:cNvPr id="17411" name="Text 3"/>
        <xdr:cNvSpPr txBox="1">
          <a:spLocks noChangeArrowheads="1"/>
        </xdr:cNvSpPr>
      </xdr:nvSpPr>
      <xdr:spPr bwMode="auto">
        <a:xfrm>
          <a:off x="2324100" y="7734300"/>
          <a:ext cx="496252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98</xdr:row>
      <xdr:rowOff>161925</xdr:rowOff>
    </xdr:from>
    <xdr:to>
      <xdr:col>7</xdr:col>
      <xdr:colOff>942975</xdr:colOff>
      <xdr:row>121</xdr:row>
      <xdr:rowOff>19050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876300</xdr:colOff>
      <xdr:row>74</xdr:row>
      <xdr:rowOff>152400</xdr:rowOff>
    </xdr:from>
    <xdr:to>
      <xdr:col>7</xdr:col>
      <xdr:colOff>942975</xdr:colOff>
      <xdr:row>96</xdr:row>
      <xdr:rowOff>19050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542925</xdr:colOff>
      <xdr:row>67</xdr:row>
      <xdr:rowOff>190500</xdr:rowOff>
    </xdr:from>
    <xdr:to>
      <xdr:col>6</xdr:col>
      <xdr:colOff>619125</xdr:colOff>
      <xdr:row>72</xdr:row>
      <xdr:rowOff>0</xdr:rowOff>
    </xdr:to>
    <xdr:sp macro="" textlink="" fLocksText="0">
      <xdr:nvSpPr>
        <xdr:cNvPr id="14339" name="Text 3"/>
        <xdr:cNvSpPr txBox="1">
          <a:spLocks noChangeArrowheads="1"/>
        </xdr:cNvSpPr>
      </xdr:nvSpPr>
      <xdr:spPr bwMode="auto">
        <a:xfrm>
          <a:off x="2324100" y="13716000"/>
          <a:ext cx="496252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96</xdr:row>
      <xdr:rowOff>161925</xdr:rowOff>
    </xdr:from>
    <xdr:to>
      <xdr:col>8</xdr:col>
      <xdr:colOff>38100</xdr:colOff>
      <xdr:row>117</xdr:row>
      <xdr:rowOff>152400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971550</xdr:colOff>
      <xdr:row>74</xdr:row>
      <xdr:rowOff>171450</xdr:rowOff>
    </xdr:from>
    <xdr:to>
      <xdr:col>7</xdr:col>
      <xdr:colOff>1038225</xdr:colOff>
      <xdr:row>95</xdr:row>
      <xdr:rowOff>0</xdr:rowOff>
    </xdr:to>
    <xdr:graphicFrame macro="">
      <xdr:nvGraphicFramePr>
        <xdr:cNvPr id="15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609600</xdr:colOff>
      <xdr:row>68</xdr:row>
      <xdr:rowOff>0</xdr:rowOff>
    </xdr:from>
    <xdr:to>
      <xdr:col>6</xdr:col>
      <xdr:colOff>752475</xdr:colOff>
      <xdr:row>72</xdr:row>
      <xdr:rowOff>0</xdr:rowOff>
    </xdr:to>
    <xdr:sp macro="" textlink="" fLocksText="0">
      <xdr:nvSpPr>
        <xdr:cNvPr id="15363" name="Text 3"/>
        <xdr:cNvSpPr txBox="1">
          <a:spLocks noChangeArrowheads="1"/>
        </xdr:cNvSpPr>
      </xdr:nvSpPr>
      <xdr:spPr bwMode="auto">
        <a:xfrm>
          <a:off x="2381250" y="13668375"/>
          <a:ext cx="540067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78</xdr:row>
      <xdr:rowOff>66675</xdr:rowOff>
    </xdr:from>
    <xdr:to>
      <xdr:col>7</xdr:col>
      <xdr:colOff>1019175</xdr:colOff>
      <xdr:row>96</xdr:row>
      <xdr:rowOff>152400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438150</xdr:colOff>
      <xdr:row>70</xdr:row>
      <xdr:rowOff>190500</xdr:rowOff>
    </xdr:from>
    <xdr:to>
      <xdr:col>6</xdr:col>
      <xdr:colOff>628650</xdr:colOff>
      <xdr:row>74</xdr:row>
      <xdr:rowOff>180975</xdr:rowOff>
    </xdr:to>
    <xdr:sp macro="" textlink="" fLocksText="0">
      <xdr:nvSpPr>
        <xdr:cNvPr id="16386" name="Text 2"/>
        <xdr:cNvSpPr txBox="1">
          <a:spLocks noChangeArrowheads="1"/>
        </xdr:cNvSpPr>
      </xdr:nvSpPr>
      <xdr:spPr bwMode="auto">
        <a:xfrm>
          <a:off x="1962150" y="14249400"/>
          <a:ext cx="5038725" cy="77152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Vocational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  <xdr:twoCellAnchor>
    <xdr:from>
      <xdr:col>0</xdr:col>
      <xdr:colOff>847725</xdr:colOff>
      <xdr:row>98</xdr:row>
      <xdr:rowOff>171450</xdr:rowOff>
    </xdr:from>
    <xdr:to>
      <xdr:col>8</xdr:col>
      <xdr:colOff>47625</xdr:colOff>
      <xdr:row>117</xdr:row>
      <xdr:rowOff>161925</xdr:rowOff>
    </xdr:to>
    <xdr:graphicFrame macro="">
      <xdr:nvGraphicFramePr>
        <xdr:cNvPr id="16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80</xdr:row>
      <xdr:rowOff>161925</xdr:rowOff>
    </xdr:from>
    <xdr:to>
      <xdr:col>7</xdr:col>
      <xdr:colOff>942975</xdr:colOff>
      <xdr:row>103</xdr:row>
      <xdr:rowOff>19050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876300</xdr:colOff>
      <xdr:row>56</xdr:row>
      <xdr:rowOff>152400</xdr:rowOff>
    </xdr:from>
    <xdr:to>
      <xdr:col>7</xdr:col>
      <xdr:colOff>942975</xdr:colOff>
      <xdr:row>78</xdr:row>
      <xdr:rowOff>19050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542925</xdr:colOff>
      <xdr:row>49</xdr:row>
      <xdr:rowOff>190500</xdr:rowOff>
    </xdr:from>
    <xdr:to>
      <xdr:col>6</xdr:col>
      <xdr:colOff>619125</xdr:colOff>
      <xdr:row>54</xdr:row>
      <xdr:rowOff>0</xdr:rowOff>
    </xdr:to>
    <xdr:sp macro="" textlink="" fLocksText="0">
      <xdr:nvSpPr>
        <xdr:cNvPr id="3075" name="Text 3"/>
        <xdr:cNvSpPr txBox="1">
          <a:spLocks noChangeArrowheads="1"/>
        </xdr:cNvSpPr>
      </xdr:nvSpPr>
      <xdr:spPr bwMode="auto">
        <a:xfrm>
          <a:off x="2324100" y="10125075"/>
          <a:ext cx="496252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102</xdr:row>
      <xdr:rowOff>161925</xdr:rowOff>
    </xdr:from>
    <xdr:to>
      <xdr:col>8</xdr:col>
      <xdr:colOff>38100</xdr:colOff>
      <xdr:row>123</xdr:row>
      <xdr:rowOff>152400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971550</xdr:colOff>
      <xdr:row>80</xdr:row>
      <xdr:rowOff>171450</xdr:rowOff>
    </xdr:from>
    <xdr:to>
      <xdr:col>7</xdr:col>
      <xdr:colOff>1038225</xdr:colOff>
      <xdr:row>101</xdr:row>
      <xdr:rowOff>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609600</xdr:colOff>
      <xdr:row>74</xdr:row>
      <xdr:rowOff>0</xdr:rowOff>
    </xdr:from>
    <xdr:to>
      <xdr:col>6</xdr:col>
      <xdr:colOff>752475</xdr:colOff>
      <xdr:row>78</xdr:row>
      <xdr:rowOff>0</xdr:rowOff>
    </xdr:to>
    <xdr:sp macro="" textlink="" fLocksText="0">
      <xdr:nvSpPr>
        <xdr:cNvPr id="18435" name="Text 3"/>
        <xdr:cNvSpPr txBox="1">
          <a:spLocks noChangeArrowheads="1"/>
        </xdr:cNvSpPr>
      </xdr:nvSpPr>
      <xdr:spPr bwMode="auto">
        <a:xfrm>
          <a:off x="2381250" y="7705725"/>
          <a:ext cx="540067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78</xdr:row>
      <xdr:rowOff>161925</xdr:rowOff>
    </xdr:from>
    <xdr:to>
      <xdr:col>8</xdr:col>
      <xdr:colOff>38100</xdr:colOff>
      <xdr:row>99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971550</xdr:colOff>
      <xdr:row>56</xdr:row>
      <xdr:rowOff>171450</xdr:rowOff>
    </xdr:from>
    <xdr:to>
      <xdr:col>7</xdr:col>
      <xdr:colOff>1038225</xdr:colOff>
      <xdr:row>77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609600</xdr:colOff>
      <xdr:row>50</xdr:row>
      <xdr:rowOff>0</xdr:rowOff>
    </xdr:from>
    <xdr:to>
      <xdr:col>6</xdr:col>
      <xdr:colOff>752475</xdr:colOff>
      <xdr:row>54</xdr:row>
      <xdr:rowOff>0</xdr:rowOff>
    </xdr:to>
    <xdr:sp macro="" textlink="" fLocksText="0">
      <xdr:nvSpPr>
        <xdr:cNvPr id="2051" name="Text 3"/>
        <xdr:cNvSpPr txBox="1">
          <a:spLocks noChangeArrowheads="1"/>
        </xdr:cNvSpPr>
      </xdr:nvSpPr>
      <xdr:spPr bwMode="auto">
        <a:xfrm>
          <a:off x="2381250" y="10086975"/>
          <a:ext cx="540067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84</xdr:row>
      <xdr:rowOff>66675</xdr:rowOff>
    </xdr:from>
    <xdr:to>
      <xdr:col>7</xdr:col>
      <xdr:colOff>1019175</xdr:colOff>
      <xdr:row>102</xdr:row>
      <xdr:rowOff>152400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438150</xdr:colOff>
      <xdr:row>76</xdr:row>
      <xdr:rowOff>190500</xdr:rowOff>
    </xdr:from>
    <xdr:to>
      <xdr:col>6</xdr:col>
      <xdr:colOff>628650</xdr:colOff>
      <xdr:row>80</xdr:row>
      <xdr:rowOff>180975</xdr:rowOff>
    </xdr:to>
    <xdr:sp macro="" textlink="" fLocksText="0">
      <xdr:nvSpPr>
        <xdr:cNvPr id="19458" name="Text 2"/>
        <xdr:cNvSpPr txBox="1">
          <a:spLocks noChangeArrowheads="1"/>
        </xdr:cNvSpPr>
      </xdr:nvSpPr>
      <xdr:spPr bwMode="auto">
        <a:xfrm>
          <a:off x="1962150" y="8286750"/>
          <a:ext cx="5038725" cy="77152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Vocational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2004-2005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  <xdr:twoCellAnchor>
    <xdr:from>
      <xdr:col>0</xdr:col>
      <xdr:colOff>847725</xdr:colOff>
      <xdr:row>104</xdr:row>
      <xdr:rowOff>171450</xdr:rowOff>
    </xdr:from>
    <xdr:to>
      <xdr:col>8</xdr:col>
      <xdr:colOff>47625</xdr:colOff>
      <xdr:row>123</xdr:row>
      <xdr:rowOff>161925</xdr:rowOff>
    </xdr:to>
    <xdr:graphicFrame macro="">
      <xdr:nvGraphicFramePr>
        <xdr:cNvPr id="194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60</xdr:row>
      <xdr:rowOff>0</xdr:rowOff>
    </xdr:from>
    <xdr:to>
      <xdr:col>8</xdr:col>
      <xdr:colOff>19050</xdr:colOff>
      <xdr:row>78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438150</xdr:colOff>
      <xdr:row>52</xdr:row>
      <xdr:rowOff>190500</xdr:rowOff>
    </xdr:from>
    <xdr:to>
      <xdr:col>6</xdr:col>
      <xdr:colOff>628650</xdr:colOff>
      <xdr:row>56</xdr:row>
      <xdr:rowOff>180975</xdr:rowOff>
    </xdr:to>
    <xdr:sp macro="" textlink="" fLocksText="0">
      <xdr:nvSpPr>
        <xdr:cNvPr id="4098" name="Text 2"/>
        <xdr:cNvSpPr txBox="1">
          <a:spLocks noChangeArrowheads="1"/>
        </xdr:cNvSpPr>
      </xdr:nvSpPr>
      <xdr:spPr bwMode="auto">
        <a:xfrm>
          <a:off x="1962150" y="10668000"/>
          <a:ext cx="5038725" cy="77152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Vocational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  <xdr:twoCellAnchor>
    <xdr:from>
      <xdr:col>0</xdr:col>
      <xdr:colOff>847725</xdr:colOff>
      <xdr:row>80</xdr:row>
      <xdr:rowOff>171450</xdr:rowOff>
    </xdr:from>
    <xdr:to>
      <xdr:col>8</xdr:col>
      <xdr:colOff>47625</xdr:colOff>
      <xdr:row>99</xdr:row>
      <xdr:rowOff>161925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98</xdr:row>
      <xdr:rowOff>161925</xdr:rowOff>
    </xdr:from>
    <xdr:to>
      <xdr:col>7</xdr:col>
      <xdr:colOff>942975</xdr:colOff>
      <xdr:row>121</xdr:row>
      <xdr:rowOff>19050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876300</xdr:colOff>
      <xdr:row>74</xdr:row>
      <xdr:rowOff>152400</xdr:rowOff>
    </xdr:from>
    <xdr:to>
      <xdr:col>7</xdr:col>
      <xdr:colOff>942975</xdr:colOff>
      <xdr:row>96</xdr:row>
      <xdr:rowOff>19050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542925</xdr:colOff>
      <xdr:row>67</xdr:row>
      <xdr:rowOff>190500</xdr:rowOff>
    </xdr:from>
    <xdr:to>
      <xdr:col>6</xdr:col>
      <xdr:colOff>619125</xdr:colOff>
      <xdr:row>72</xdr:row>
      <xdr:rowOff>0</xdr:rowOff>
    </xdr:to>
    <xdr:sp macro="" textlink="" fLocksText="0">
      <xdr:nvSpPr>
        <xdr:cNvPr id="11267" name="Text 3"/>
        <xdr:cNvSpPr txBox="1">
          <a:spLocks noChangeArrowheads="1"/>
        </xdr:cNvSpPr>
      </xdr:nvSpPr>
      <xdr:spPr bwMode="auto">
        <a:xfrm>
          <a:off x="2324100" y="13716000"/>
          <a:ext cx="496252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96</xdr:row>
      <xdr:rowOff>161925</xdr:rowOff>
    </xdr:from>
    <xdr:to>
      <xdr:col>8</xdr:col>
      <xdr:colOff>38100</xdr:colOff>
      <xdr:row>117</xdr:row>
      <xdr:rowOff>152400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971550</xdr:colOff>
      <xdr:row>74</xdr:row>
      <xdr:rowOff>171450</xdr:rowOff>
    </xdr:from>
    <xdr:to>
      <xdr:col>7</xdr:col>
      <xdr:colOff>1038225</xdr:colOff>
      <xdr:row>95</xdr:row>
      <xdr:rowOff>0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609600</xdr:colOff>
      <xdr:row>68</xdr:row>
      <xdr:rowOff>0</xdr:rowOff>
    </xdr:from>
    <xdr:to>
      <xdr:col>6</xdr:col>
      <xdr:colOff>752475</xdr:colOff>
      <xdr:row>72</xdr:row>
      <xdr:rowOff>0</xdr:rowOff>
    </xdr:to>
    <xdr:sp macro="" textlink="" fLocksText="0">
      <xdr:nvSpPr>
        <xdr:cNvPr id="12291" name="Text 3"/>
        <xdr:cNvSpPr txBox="1">
          <a:spLocks noChangeArrowheads="1"/>
        </xdr:cNvSpPr>
      </xdr:nvSpPr>
      <xdr:spPr bwMode="auto">
        <a:xfrm>
          <a:off x="2381250" y="13668375"/>
          <a:ext cx="5400675" cy="79057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1994-95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78</xdr:row>
      <xdr:rowOff>66675</xdr:rowOff>
    </xdr:from>
    <xdr:to>
      <xdr:col>7</xdr:col>
      <xdr:colOff>1019175</xdr:colOff>
      <xdr:row>96</xdr:row>
      <xdr:rowOff>152400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438150</xdr:colOff>
      <xdr:row>70</xdr:row>
      <xdr:rowOff>190500</xdr:rowOff>
    </xdr:from>
    <xdr:to>
      <xdr:col>6</xdr:col>
      <xdr:colOff>628650</xdr:colOff>
      <xdr:row>74</xdr:row>
      <xdr:rowOff>180975</xdr:rowOff>
    </xdr:to>
    <xdr:sp macro="" textlink="" fLocksText="0">
      <xdr:nvSpPr>
        <xdr:cNvPr id="13314" name="Text 2"/>
        <xdr:cNvSpPr txBox="1">
          <a:spLocks noChangeArrowheads="1"/>
        </xdr:cNvSpPr>
      </xdr:nvSpPr>
      <xdr:spPr bwMode="auto">
        <a:xfrm>
          <a:off x="1962150" y="14249400"/>
          <a:ext cx="5038725" cy="771525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Vocational Education Activity Report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2005-2006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 fLocksWithSheet="0"/>
  </xdr:twoCellAnchor>
  <xdr:twoCellAnchor>
    <xdr:from>
      <xdr:col>0</xdr:col>
      <xdr:colOff>847725</xdr:colOff>
      <xdr:row>98</xdr:row>
      <xdr:rowOff>171450</xdr:rowOff>
    </xdr:from>
    <xdr:to>
      <xdr:col>8</xdr:col>
      <xdr:colOff>47625</xdr:colOff>
      <xdr:row>117</xdr:row>
      <xdr:rowOff>161925</xdr:rowOff>
    </xdr:to>
    <xdr:graphicFrame macro="">
      <xdr:nvGraphicFramePr>
        <xdr:cNvPr id="13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9"/>
  <sheetViews>
    <sheetView tabSelected="1" defaultGridColor="0" colorId="22" zoomScale="87" workbookViewId="0">
      <selection activeCell="B41" sqref="B41"/>
    </sheetView>
  </sheetViews>
  <sheetFormatPr defaultColWidth="12.5703125" defaultRowHeight="15"/>
  <cols>
    <col min="1" max="1" width="26.7109375" style="40" customWidth="1"/>
    <col min="2" max="2" width="13.7109375" style="40" customWidth="1"/>
    <col min="3" max="3" width="15.28515625" style="40" customWidth="1"/>
    <col min="4" max="4" width="15.140625" style="40" customWidth="1"/>
    <col min="5" max="13" width="14.5703125" style="40" customWidth="1"/>
    <col min="14" max="16384" width="12.5703125" style="40"/>
  </cols>
  <sheetData>
    <row r="1" spans="1:36" ht="20.25">
      <c r="A1" s="37" t="s">
        <v>31</v>
      </c>
      <c r="B1" s="38"/>
      <c r="C1" s="38"/>
      <c r="D1" s="38"/>
      <c r="E1" s="39"/>
      <c r="F1" s="39"/>
      <c r="G1" s="39"/>
      <c r="H1" s="39"/>
      <c r="I1" s="39"/>
      <c r="J1" s="39"/>
      <c r="K1" s="39"/>
      <c r="L1" s="39"/>
      <c r="M1" s="39"/>
    </row>
    <row r="2" spans="1:36" ht="18.75">
      <c r="A2" s="41" t="s">
        <v>28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</row>
    <row r="3" spans="1:3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36" ht="18.75" thickBot="1">
      <c r="A5" s="42" t="s">
        <v>22</v>
      </c>
      <c r="B5" s="43"/>
      <c r="C5" s="43"/>
      <c r="D5" s="44"/>
      <c r="E5" s="44"/>
      <c r="F5" s="44"/>
      <c r="G5" s="44"/>
      <c r="H5" s="44"/>
      <c r="I5" s="45"/>
      <c r="J5" s="45"/>
      <c r="K5" s="45"/>
      <c r="L5" s="45"/>
      <c r="M5" s="45"/>
    </row>
    <row r="6" spans="1:36" ht="15.75">
      <c r="A6" s="46"/>
      <c r="B6" s="47" t="s">
        <v>10</v>
      </c>
      <c r="C6" s="47" t="s">
        <v>11</v>
      </c>
      <c r="D6" s="47" t="s">
        <v>12</v>
      </c>
      <c r="E6" s="47" t="s">
        <v>13</v>
      </c>
      <c r="F6" s="47" t="s">
        <v>14</v>
      </c>
      <c r="G6" s="47" t="s">
        <v>15</v>
      </c>
      <c r="H6" s="47" t="s">
        <v>16</v>
      </c>
      <c r="I6" s="47" t="s">
        <v>17</v>
      </c>
      <c r="J6" s="47" t="s">
        <v>18</v>
      </c>
      <c r="K6" s="47" t="s">
        <v>19</v>
      </c>
      <c r="L6" s="47" t="s">
        <v>20</v>
      </c>
      <c r="M6" s="48" t="s">
        <v>21</v>
      </c>
    </row>
    <row r="7" spans="1:36" ht="15.7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36" ht="15.75" hidden="1">
      <c r="A8" s="83" t="s">
        <v>29</v>
      </c>
      <c r="B8" s="50"/>
      <c r="C8" s="50"/>
      <c r="D8" s="50"/>
      <c r="E8" s="101"/>
      <c r="F8" s="101"/>
      <c r="G8" s="101"/>
      <c r="H8" s="50"/>
      <c r="I8" s="50"/>
      <c r="J8" s="50"/>
      <c r="K8" s="50"/>
      <c r="L8" s="50"/>
      <c r="M8" s="51"/>
    </row>
    <row r="9" spans="1:36" ht="15.75" hidden="1">
      <c r="A9" s="53" t="s">
        <v>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36" ht="15.75" hidden="1">
      <c r="A10" s="53" t="s">
        <v>2</v>
      </c>
      <c r="B10" s="56">
        <v>49350</v>
      </c>
      <c r="C10" s="56">
        <f>+M10*18%</f>
        <v>298495.44</v>
      </c>
      <c r="D10" s="56">
        <f>+M10*57%</f>
        <v>945235.55999999994</v>
      </c>
      <c r="E10" s="56">
        <f>+M10*68%</f>
        <v>1127649.4400000002</v>
      </c>
      <c r="F10" s="56">
        <f>M10*71%</f>
        <v>1177398.68</v>
      </c>
      <c r="G10" s="56">
        <f>+M10*78%</f>
        <v>1293480.24</v>
      </c>
      <c r="H10" s="56">
        <f>+M10*81%</f>
        <v>1343229.48</v>
      </c>
      <c r="I10" s="56">
        <f>+M10*84%</f>
        <v>1392978.72</v>
      </c>
      <c r="J10" s="56">
        <f>+M10*88%</f>
        <v>1459311.04</v>
      </c>
      <c r="K10" s="56">
        <f>+M10*93%</f>
        <v>1542226.4400000002</v>
      </c>
      <c r="L10" s="56">
        <f>+M10*96%</f>
        <v>1591975.68</v>
      </c>
      <c r="M10" s="55">
        <v>1658308</v>
      </c>
    </row>
    <row r="11" spans="1:36" ht="15.75" hidden="1">
      <c r="A11" s="53" t="s">
        <v>27</v>
      </c>
      <c r="B11" s="54">
        <v>0</v>
      </c>
      <c r="C11" s="54">
        <v>0</v>
      </c>
      <c r="D11" s="54">
        <v>0</v>
      </c>
      <c r="E11" s="54">
        <f>+M11*11%</f>
        <v>233490.51</v>
      </c>
      <c r="F11" s="54">
        <f>+M11*30%</f>
        <v>636792.29999999993</v>
      </c>
      <c r="G11" s="54">
        <f>+M11*39%</f>
        <v>827829.99</v>
      </c>
      <c r="H11" s="54">
        <f>+M11*50%</f>
        <v>1061320.5</v>
      </c>
      <c r="I11" s="54">
        <f>+M11*0.6</f>
        <v>1273584.5999999999</v>
      </c>
      <c r="J11" s="54">
        <f>+M11*0.7</f>
        <v>1485848.7</v>
      </c>
      <c r="K11" s="54">
        <f>+M11*0.8</f>
        <v>1698112.8</v>
      </c>
      <c r="L11" s="54">
        <f>+M11*0.9</f>
        <v>1910376.9000000001</v>
      </c>
      <c r="M11" s="55">
        <v>2122641</v>
      </c>
    </row>
    <row r="12" spans="1:36" ht="15.75" hidden="1">
      <c r="A12" s="53" t="s">
        <v>4</v>
      </c>
      <c r="B12" s="54">
        <v>1024</v>
      </c>
      <c r="C12" s="54">
        <f>+B12</f>
        <v>1024</v>
      </c>
      <c r="D12" s="54">
        <f>+M12*0.02</f>
        <v>15807.98</v>
      </c>
      <c r="E12" s="54">
        <f>+M12*0.03</f>
        <v>23711.969999999998</v>
      </c>
      <c r="F12" s="54">
        <f>+M12*0.13</f>
        <v>102751.87000000001</v>
      </c>
      <c r="G12" s="54">
        <f>+M12*0.15</f>
        <v>118559.84999999999</v>
      </c>
      <c r="H12" s="54">
        <f>+M12*0.16</f>
        <v>126463.84</v>
      </c>
      <c r="I12" s="54">
        <f>+M12*0.19</f>
        <v>150175.81</v>
      </c>
      <c r="J12" s="54">
        <f>+M12*0.37</f>
        <v>292447.63</v>
      </c>
      <c r="K12" s="54">
        <f>+M12*0.54</f>
        <v>426815.46</v>
      </c>
      <c r="L12" s="54">
        <f>+M12*0.61</f>
        <v>482143.39</v>
      </c>
      <c r="M12" s="55">
        <v>790399</v>
      </c>
    </row>
    <row r="13" spans="1:36" ht="15.75" hidden="1">
      <c r="A13" s="53" t="s">
        <v>25</v>
      </c>
      <c r="B13" s="54">
        <v>0</v>
      </c>
      <c r="C13" s="54">
        <v>0</v>
      </c>
      <c r="D13" s="54">
        <f>+M13*0.01</f>
        <v>32827.43</v>
      </c>
      <c r="E13" s="54">
        <f>+M13*0.01</f>
        <v>32827.43</v>
      </c>
      <c r="F13" s="54">
        <f>+M13*0.02</f>
        <v>65654.86</v>
      </c>
      <c r="G13" s="54">
        <f>+M13*0.8</f>
        <v>2626194.4000000004</v>
      </c>
      <c r="H13" s="54">
        <f>+M13*0.8</f>
        <v>2626194.4000000004</v>
      </c>
      <c r="I13" s="54">
        <f>+M13*0.98</f>
        <v>3217088.14</v>
      </c>
      <c r="J13" s="54">
        <f>+M13</f>
        <v>3282743</v>
      </c>
      <c r="K13" s="54">
        <f>M13*0.9919</f>
        <v>3256152.7817000002</v>
      </c>
      <c r="L13" s="54">
        <f>+K13</f>
        <v>3256152.7817000002</v>
      </c>
      <c r="M13" s="55">
        <v>3282743</v>
      </c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 hidden="1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36" ht="15.75" hidden="1">
      <c r="A15" s="53" t="s">
        <v>5</v>
      </c>
      <c r="B15" s="1">
        <f t="shared" ref="B15:M15" si="0">SUM(B10:B14)</f>
        <v>50374</v>
      </c>
      <c r="C15" s="1">
        <f t="shared" si="0"/>
        <v>299519.44</v>
      </c>
      <c r="D15" s="1">
        <f t="shared" si="0"/>
        <v>993870.97</v>
      </c>
      <c r="E15" s="1">
        <f t="shared" si="0"/>
        <v>1417679.35</v>
      </c>
      <c r="F15" s="1">
        <f t="shared" si="0"/>
        <v>1982597.7100000002</v>
      </c>
      <c r="G15" s="1">
        <f t="shared" si="0"/>
        <v>4866064.4800000004</v>
      </c>
      <c r="H15" s="1">
        <f t="shared" si="0"/>
        <v>5157208.2200000007</v>
      </c>
      <c r="I15" s="1">
        <f t="shared" si="0"/>
        <v>6033827.2699999996</v>
      </c>
      <c r="J15" s="1">
        <f t="shared" si="0"/>
        <v>6520350.3700000001</v>
      </c>
      <c r="K15" s="1">
        <f t="shared" si="0"/>
        <v>6923307.4817000004</v>
      </c>
      <c r="L15" s="1">
        <f t="shared" si="0"/>
        <v>7240648.7517000008</v>
      </c>
      <c r="M15" s="2">
        <f t="shared" si="0"/>
        <v>7854091</v>
      </c>
    </row>
    <row r="16" spans="1:36" ht="15.75" hidden="1">
      <c r="A16" s="5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 hidden="1">
      <c r="A17" s="53"/>
      <c r="B17" s="1"/>
      <c r="C17" s="1"/>
      <c r="D17" s="1"/>
      <c r="E17" s="1"/>
      <c r="F17" s="1"/>
      <c r="G17" s="1"/>
      <c r="H17" s="102"/>
      <c r="I17" s="1"/>
      <c r="J17" s="1"/>
      <c r="K17" s="1"/>
      <c r="L17" s="1"/>
      <c r="M17" s="2"/>
    </row>
    <row r="18" spans="1:16" ht="15.75" hidden="1">
      <c r="A18" s="52" t="s">
        <v>32</v>
      </c>
      <c r="B18" s="1"/>
      <c r="C18" s="1"/>
      <c r="D18" s="1"/>
      <c r="E18" s="101"/>
      <c r="F18" s="101"/>
      <c r="G18" s="101"/>
      <c r="H18" s="102"/>
      <c r="I18" s="1"/>
      <c r="J18" s="1"/>
      <c r="K18" s="1"/>
      <c r="L18" s="1"/>
      <c r="M18" s="2"/>
    </row>
    <row r="19" spans="1:16" ht="15.75" hidden="1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 hidden="1">
      <c r="A20" s="84" t="s">
        <v>2</v>
      </c>
      <c r="B20" s="56">
        <v>49350</v>
      </c>
      <c r="C20" s="56">
        <v>254756</v>
      </c>
      <c r="D20" s="56">
        <v>944393</v>
      </c>
      <c r="E20" s="58">
        <v>1029966</v>
      </c>
      <c r="F20" s="56">
        <v>1115254</v>
      </c>
      <c r="G20" s="56">
        <v>1196327</v>
      </c>
      <c r="H20" s="56">
        <v>1292992</v>
      </c>
      <c r="I20" s="56">
        <v>1339766</v>
      </c>
      <c r="J20" s="56">
        <v>1398453</v>
      </c>
      <c r="K20" s="56">
        <v>1504609</v>
      </c>
      <c r="L20" s="56">
        <f>+M20*0.96</f>
        <v>1582613.76</v>
      </c>
      <c r="M20" s="55">
        <v>1648556</v>
      </c>
    </row>
    <row r="21" spans="1:16" ht="15.75" hidden="1">
      <c r="A21" s="84" t="s">
        <v>3</v>
      </c>
      <c r="B21" s="54">
        <v>0</v>
      </c>
      <c r="C21" s="54">
        <v>0</v>
      </c>
      <c r="D21" s="54">
        <v>0</v>
      </c>
      <c r="E21" s="60">
        <v>165701</v>
      </c>
      <c r="F21" s="54">
        <v>488132</v>
      </c>
      <c r="G21" s="54">
        <v>688878</v>
      </c>
      <c r="H21" s="54">
        <v>862157</v>
      </c>
      <c r="I21" s="54">
        <v>1067984</v>
      </c>
      <c r="J21" s="54">
        <v>1245839</v>
      </c>
      <c r="K21" s="54">
        <v>1439018</v>
      </c>
      <c r="L21" s="54">
        <f>+K21+200000</f>
        <v>1639018</v>
      </c>
      <c r="M21" s="55">
        <v>2208592</v>
      </c>
    </row>
    <row r="22" spans="1:16" ht="15.75" hidden="1">
      <c r="A22" s="84" t="s">
        <v>4</v>
      </c>
      <c r="B22" s="54">
        <v>1024</v>
      </c>
      <c r="C22" s="54">
        <v>1574</v>
      </c>
      <c r="D22" s="54">
        <v>2574</v>
      </c>
      <c r="E22" s="60">
        <v>2574</v>
      </c>
      <c r="F22" s="54">
        <v>84383</v>
      </c>
      <c r="G22" s="54">
        <v>84383</v>
      </c>
      <c r="H22" s="54">
        <v>153508</v>
      </c>
      <c r="I22" s="54">
        <v>155891</v>
      </c>
      <c r="J22" s="54">
        <v>233936</v>
      </c>
      <c r="K22" s="54">
        <v>260579</v>
      </c>
      <c r="L22" s="54">
        <f>+K22+42371</f>
        <v>302950</v>
      </c>
      <c r="M22" s="55">
        <v>742021</v>
      </c>
    </row>
    <row r="23" spans="1:16" ht="15.75" hidden="1">
      <c r="A23" s="84" t="s">
        <v>25</v>
      </c>
      <c r="B23" s="54">
        <v>0</v>
      </c>
      <c r="C23" s="60">
        <v>0</v>
      </c>
      <c r="D23" s="60">
        <v>0</v>
      </c>
      <c r="E23" s="54">
        <v>3657</v>
      </c>
      <c r="F23" s="54">
        <v>47618</v>
      </c>
      <c r="G23" s="54">
        <f>47618+2578595</f>
        <v>2626213</v>
      </c>
      <c r="H23" s="54">
        <f>78979+2578595</f>
        <v>2657574</v>
      </c>
      <c r="I23" s="54">
        <f>95455+2578595</f>
        <v>2674050</v>
      </c>
      <c r="J23" s="54">
        <v>2578595</v>
      </c>
      <c r="K23" s="54">
        <f>772722+2180878</f>
        <v>2953600</v>
      </c>
      <c r="L23" s="54">
        <f>+K23</f>
        <v>2953600</v>
      </c>
      <c r="M23" s="55">
        <v>2973504</v>
      </c>
    </row>
    <row r="24" spans="1:16" hidden="1">
      <c r="A24" s="8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6" ht="15.75" hidden="1">
      <c r="A25" s="84" t="s">
        <v>5</v>
      </c>
      <c r="B25" s="1">
        <f t="shared" ref="B25:M25" si="1">SUM(B20:B24)</f>
        <v>50374</v>
      </c>
      <c r="C25" s="1">
        <f t="shared" si="1"/>
        <v>256330</v>
      </c>
      <c r="D25" s="1">
        <f t="shared" si="1"/>
        <v>946967</v>
      </c>
      <c r="E25" s="1">
        <f t="shared" si="1"/>
        <v>1201898</v>
      </c>
      <c r="F25" s="1">
        <f t="shared" si="1"/>
        <v>1735387</v>
      </c>
      <c r="G25" s="1">
        <f t="shared" si="1"/>
        <v>4595801</v>
      </c>
      <c r="H25" s="1">
        <f t="shared" si="1"/>
        <v>4966231</v>
      </c>
      <c r="I25" s="1">
        <f t="shared" si="1"/>
        <v>5237691</v>
      </c>
      <c r="J25" s="1">
        <f t="shared" si="1"/>
        <v>5456823</v>
      </c>
      <c r="K25" s="1">
        <f t="shared" si="1"/>
        <v>6157806</v>
      </c>
      <c r="L25" s="1">
        <f t="shared" si="1"/>
        <v>6478181.7599999998</v>
      </c>
      <c r="M25" s="2">
        <f t="shared" si="1"/>
        <v>7572673</v>
      </c>
    </row>
    <row r="26" spans="1:16" ht="15.75" hidden="1">
      <c r="A26" s="5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 hidden="1">
      <c r="A27" s="5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30</v>
      </c>
      <c r="B28" s="5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6" ht="15.75">
      <c r="A29" s="53" t="s">
        <v>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6" ht="15.75">
      <c r="A30" s="53" t="s">
        <v>2</v>
      </c>
      <c r="B30" s="56">
        <v>49350</v>
      </c>
      <c r="C30" s="56">
        <v>254756</v>
      </c>
      <c r="D30" s="56">
        <v>944393</v>
      </c>
      <c r="E30" s="58">
        <v>1029966</v>
      </c>
      <c r="F30" s="56">
        <v>1115254</v>
      </c>
      <c r="G30" s="56">
        <v>1196327</v>
      </c>
      <c r="H30" s="56">
        <v>1292992</v>
      </c>
      <c r="I30" s="56">
        <v>1339766</v>
      </c>
      <c r="J30" s="56">
        <v>1398453</v>
      </c>
      <c r="K30" s="56">
        <v>1504609</v>
      </c>
      <c r="L30" s="56">
        <v>1542791</v>
      </c>
      <c r="M30" s="59">
        <v>1611987</v>
      </c>
      <c r="N30" s="45"/>
      <c r="O30" s="45"/>
      <c r="P30" s="45"/>
    </row>
    <row r="31" spans="1:16" ht="15.75">
      <c r="A31" s="53"/>
      <c r="B31" s="108">
        <f>+B30/$M$30</f>
        <v>3.0614390810844008E-2</v>
      </c>
      <c r="C31" s="108">
        <f t="shared" ref="C31:M31" si="2">+C30/$M$30</f>
        <v>0.1580384953476672</v>
      </c>
      <c r="D31" s="108">
        <f t="shared" si="2"/>
        <v>0.58585646162158878</v>
      </c>
      <c r="E31" s="108">
        <f t="shared" si="2"/>
        <v>0.63894187732283203</v>
      </c>
      <c r="F31" s="108">
        <f t="shared" si="2"/>
        <v>0.6918504925908211</v>
      </c>
      <c r="G31" s="108">
        <f t="shared" si="2"/>
        <v>0.74214432250384155</v>
      </c>
      <c r="H31" s="108">
        <f t="shared" si="2"/>
        <v>0.80211068699685539</v>
      </c>
      <c r="I31" s="108">
        <f t="shared" si="2"/>
        <v>0.83112705003204124</v>
      </c>
      <c r="J31" s="108">
        <f t="shared" si="2"/>
        <v>0.867533671177249</v>
      </c>
      <c r="K31" s="108">
        <f t="shared" si="2"/>
        <v>0.93338780027382351</v>
      </c>
      <c r="L31" s="108">
        <f t="shared" si="2"/>
        <v>0.95707409551069578</v>
      </c>
      <c r="M31" s="108">
        <f t="shared" si="2"/>
        <v>1</v>
      </c>
      <c r="N31" s="45"/>
      <c r="O31" s="45"/>
      <c r="P31" s="45"/>
    </row>
    <row r="32" spans="1:16" ht="15.75">
      <c r="A32" s="53" t="s">
        <v>3</v>
      </c>
      <c r="B32" s="54">
        <v>0</v>
      </c>
      <c r="C32" s="54">
        <v>0</v>
      </c>
      <c r="D32" s="54">
        <v>0</v>
      </c>
      <c r="E32" s="60">
        <v>165701</v>
      </c>
      <c r="F32" s="54">
        <v>488132</v>
      </c>
      <c r="G32" s="54">
        <v>688878</v>
      </c>
      <c r="H32" s="54">
        <v>862157</v>
      </c>
      <c r="I32" s="54">
        <v>1067984</v>
      </c>
      <c r="J32" s="54">
        <v>1245839</v>
      </c>
      <c r="K32" s="54">
        <v>1439018</v>
      </c>
      <c r="L32" s="54">
        <v>1620061</v>
      </c>
      <c r="M32" s="55">
        <v>1810104</v>
      </c>
    </row>
    <row r="33" spans="1:14" ht="15.75">
      <c r="A33" s="53"/>
      <c r="B33" s="108">
        <f>+B32/$M$32</f>
        <v>0</v>
      </c>
      <c r="C33" s="108">
        <f t="shared" ref="C33:I33" si="3">+C32/$M$32</f>
        <v>0</v>
      </c>
      <c r="D33" s="108">
        <f t="shared" si="3"/>
        <v>0</v>
      </c>
      <c r="E33" s="108">
        <f t="shared" si="3"/>
        <v>9.1542253925741279E-2</v>
      </c>
      <c r="F33" s="108">
        <f t="shared" si="3"/>
        <v>0.26967069295465895</v>
      </c>
      <c r="G33" s="108">
        <f t="shared" si="3"/>
        <v>0.38057371289163494</v>
      </c>
      <c r="H33" s="108">
        <f t="shared" si="3"/>
        <v>0.47630246659860426</v>
      </c>
      <c r="I33" s="108">
        <f t="shared" si="3"/>
        <v>0.59001250756862589</v>
      </c>
      <c r="J33" s="108">
        <f>+J32/$M$32</f>
        <v>0.68826929281411453</v>
      </c>
      <c r="K33" s="108">
        <f>+K32/$M$32</f>
        <v>0.79499188996875314</v>
      </c>
      <c r="L33" s="108">
        <f>+L32/$M$32</f>
        <v>0.89500989998364733</v>
      </c>
      <c r="M33" s="108">
        <f>+M32/$M$32</f>
        <v>1</v>
      </c>
    </row>
    <row r="34" spans="1:14" ht="15.75">
      <c r="A34" s="53" t="s">
        <v>4</v>
      </c>
      <c r="B34" s="54">
        <v>1024</v>
      </c>
      <c r="C34" s="54">
        <v>1574</v>
      </c>
      <c r="D34" s="54">
        <v>2574</v>
      </c>
      <c r="E34" s="60">
        <v>2574</v>
      </c>
      <c r="F34" s="54">
        <v>84383</v>
      </c>
      <c r="G34" s="54">
        <v>84383</v>
      </c>
      <c r="H34" s="54">
        <v>153508</v>
      </c>
      <c r="I34" s="54">
        <v>155891</v>
      </c>
      <c r="J34" s="54">
        <v>233936</v>
      </c>
      <c r="K34" s="54">
        <v>260579</v>
      </c>
      <c r="L34" s="54">
        <v>267642</v>
      </c>
      <c r="M34" s="55">
        <v>453460</v>
      </c>
    </row>
    <row r="35" spans="1:14" ht="15.75">
      <c r="A35" s="53"/>
      <c r="B35" s="108">
        <f>+B34/$M$34</f>
        <v>2.2581925638424558E-3</v>
      </c>
      <c r="C35" s="108">
        <f t="shared" ref="C35:M35" si="4">+C34/$M$34</f>
        <v>3.4710889604375249E-3</v>
      </c>
      <c r="D35" s="108">
        <f t="shared" si="4"/>
        <v>5.6763551360649233E-3</v>
      </c>
      <c r="E35" s="108">
        <f t="shared" si="4"/>
        <v>5.6763551360649233E-3</v>
      </c>
      <c r="F35" s="108">
        <f t="shared" si="4"/>
        <v>0.18608697569796676</v>
      </c>
      <c r="G35" s="108">
        <f t="shared" si="4"/>
        <v>0.18608697569796676</v>
      </c>
      <c r="H35" s="108">
        <f t="shared" si="4"/>
        <v>0.33852600008821065</v>
      </c>
      <c r="I35" s="108">
        <f t="shared" si="4"/>
        <v>0.34378114938473076</v>
      </c>
      <c r="J35" s="108">
        <f t="shared" si="4"/>
        <v>0.51589114806157099</v>
      </c>
      <c r="K35" s="108">
        <f t="shared" si="4"/>
        <v>0.57464605477881181</v>
      </c>
      <c r="L35" s="108">
        <f t="shared" si="4"/>
        <v>0.5902218497772681</v>
      </c>
      <c r="M35" s="108">
        <f t="shared" si="4"/>
        <v>1</v>
      </c>
    </row>
    <row r="36" spans="1:14" ht="15.75">
      <c r="A36" s="53" t="s">
        <v>25</v>
      </c>
      <c r="B36" s="54">
        <v>0</v>
      </c>
      <c r="C36" s="60">
        <v>0</v>
      </c>
      <c r="D36" s="60">
        <v>0</v>
      </c>
      <c r="E36" s="54">
        <v>3657</v>
      </c>
      <c r="F36" s="54">
        <v>47618</v>
      </c>
      <c r="G36" s="54">
        <f>47618+2578595</f>
        <v>2626213</v>
      </c>
      <c r="H36" s="54">
        <f>78979+2578595</f>
        <v>2657574</v>
      </c>
      <c r="I36" s="54">
        <f>95455+2578595</f>
        <v>2674050</v>
      </c>
      <c r="J36" s="54">
        <v>2578595</v>
      </c>
      <c r="K36" s="54">
        <f>772722+2180878</f>
        <v>2953600</v>
      </c>
      <c r="L36" s="54">
        <f>772512+2180878</f>
        <v>2953390</v>
      </c>
      <c r="M36" s="55">
        <f>822065+2180878</f>
        <v>3002943</v>
      </c>
    </row>
    <row r="37" spans="1:14" ht="15.75">
      <c r="A37" s="53"/>
      <c r="B37" s="108">
        <f>+B36/$M$36</f>
        <v>0</v>
      </c>
      <c r="C37" s="108">
        <f t="shared" ref="C37:M37" si="5">+C36/$M$36</f>
        <v>0</v>
      </c>
      <c r="D37" s="108">
        <f t="shared" si="5"/>
        <v>0</v>
      </c>
      <c r="E37" s="108">
        <f t="shared" si="5"/>
        <v>1.2178053329683579E-3</v>
      </c>
      <c r="F37" s="108">
        <f t="shared" si="5"/>
        <v>1.5857110840931714E-2</v>
      </c>
      <c r="G37" s="108">
        <f t="shared" si="5"/>
        <v>0.87454640331168454</v>
      </c>
      <c r="H37" s="108">
        <f t="shared" si="5"/>
        <v>0.88498982498169299</v>
      </c>
      <c r="I37" s="108">
        <f t="shared" si="5"/>
        <v>0.89047644260979975</v>
      </c>
      <c r="J37" s="108">
        <f t="shared" si="5"/>
        <v>0.85868929247075287</v>
      </c>
      <c r="K37" s="108">
        <f t="shared" si="5"/>
        <v>0.98356845268125304</v>
      </c>
      <c r="L37" s="108">
        <f t="shared" si="5"/>
        <v>0.98349852128395376</v>
      </c>
      <c r="M37" s="108">
        <f t="shared" si="5"/>
        <v>1</v>
      </c>
    </row>
    <row r="38" spans="1:14">
      <c r="A38" s="5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4" ht="16.5" thickBot="1">
      <c r="A39" s="61" t="s">
        <v>5</v>
      </c>
      <c r="B39" s="3">
        <f t="shared" ref="B39:M39" si="6">SUM(B30:B38)</f>
        <v>50374.032872583375</v>
      </c>
      <c r="C39" s="3">
        <f t="shared" si="6"/>
        <v>256330.16150958432</v>
      </c>
      <c r="D39" s="3">
        <f t="shared" si="6"/>
        <v>946967.59153281676</v>
      </c>
      <c r="E39" s="3">
        <f t="shared" si="6"/>
        <v>1201898.7373782918</v>
      </c>
      <c r="F39" s="3">
        <f t="shared" si="6"/>
        <v>1735388.1634652719</v>
      </c>
      <c r="G39" s="3">
        <f t="shared" si="6"/>
        <v>4595803.1833514143</v>
      </c>
      <c r="H39" s="3">
        <f t="shared" si="6"/>
        <v>4966233.5019289786</v>
      </c>
      <c r="I39" s="3">
        <f t="shared" si="6"/>
        <v>5237693.6553971507</v>
      </c>
      <c r="J39" s="3">
        <f t="shared" si="6"/>
        <v>5456825.9303834047</v>
      </c>
      <c r="K39" s="3">
        <f t="shared" si="6"/>
        <v>6157809.2865941972</v>
      </c>
      <c r="L39" s="3">
        <f t="shared" si="6"/>
        <v>6383887.4258043664</v>
      </c>
      <c r="M39" s="4">
        <f t="shared" si="6"/>
        <v>6878498</v>
      </c>
    </row>
    <row r="40" spans="1:14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62"/>
    </row>
    <row r="41" spans="1:14" ht="15.75">
      <c r="A41" s="56"/>
      <c r="B41" s="50"/>
      <c r="C41" s="50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62"/>
    </row>
    <row r="42" spans="1:14" ht="18.75" thickBot="1">
      <c r="A42" s="63" t="s">
        <v>23</v>
      </c>
      <c r="B42" s="56"/>
      <c r="C42" s="56"/>
      <c r="D42" s="56"/>
      <c r="E42" s="56"/>
      <c r="F42" s="56"/>
      <c r="G42" s="56"/>
      <c r="H42" s="56"/>
      <c r="I42" s="56"/>
      <c r="J42" s="50"/>
      <c r="K42" s="54"/>
      <c r="L42" s="54"/>
      <c r="M42" s="54"/>
      <c r="N42" s="62"/>
    </row>
    <row r="43" spans="1:14" ht="15.75">
      <c r="A43" s="46"/>
      <c r="B43" s="47" t="s">
        <v>10</v>
      </c>
      <c r="C43" s="47" t="s">
        <v>11</v>
      </c>
      <c r="D43" s="47" t="s">
        <v>12</v>
      </c>
      <c r="E43" s="47" t="s">
        <v>13</v>
      </c>
      <c r="F43" s="47" t="s">
        <v>14</v>
      </c>
      <c r="G43" s="47" t="s">
        <v>15</v>
      </c>
      <c r="H43" s="47" t="s">
        <v>16</v>
      </c>
      <c r="I43" s="47" t="s">
        <v>17</v>
      </c>
      <c r="J43" s="47" t="s">
        <v>18</v>
      </c>
      <c r="K43" s="47" t="s">
        <v>19</v>
      </c>
      <c r="L43" s="47" t="s">
        <v>20</v>
      </c>
      <c r="M43" s="48" t="s">
        <v>21</v>
      </c>
    </row>
    <row r="44" spans="1:14" ht="15.75" hidden="1">
      <c r="A44" s="4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51"/>
    </row>
    <row r="45" spans="1:14" ht="15.75" hidden="1">
      <c r="A45" s="83" t="s">
        <v>29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51"/>
    </row>
    <row r="46" spans="1:14" ht="15.75" hidden="1">
      <c r="A46" s="53" t="s">
        <v>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55"/>
    </row>
    <row r="47" spans="1:14" ht="15.75" hidden="1">
      <c r="A47" s="53" t="s">
        <v>7</v>
      </c>
      <c r="B47" s="99">
        <v>220186</v>
      </c>
      <c r="C47" s="99">
        <v>460794</v>
      </c>
      <c r="D47" s="99">
        <v>705486</v>
      </c>
      <c r="E47" s="99">
        <v>1072525</v>
      </c>
      <c r="F47" s="99">
        <v>1317218</v>
      </c>
      <c r="G47" s="99">
        <v>1561911</v>
      </c>
      <c r="H47" s="99">
        <v>1806604</v>
      </c>
      <c r="I47" s="99">
        <v>2051296</v>
      </c>
      <c r="J47" s="99">
        <v>2295989</v>
      </c>
      <c r="K47" s="99">
        <v>2663028</v>
      </c>
      <c r="L47" s="99">
        <v>2907721</v>
      </c>
      <c r="M47" s="55">
        <v>3219641</v>
      </c>
    </row>
    <row r="48" spans="1:14" ht="15.75" hidden="1">
      <c r="A48" s="53" t="s">
        <v>8</v>
      </c>
      <c r="B48" s="99">
        <f>+B50-B47</f>
        <v>324687</v>
      </c>
      <c r="C48" s="99">
        <f>+M48*0.18</f>
        <v>897046.02</v>
      </c>
      <c r="D48" s="99">
        <f>+M48*0.23</f>
        <v>1146225.47</v>
      </c>
      <c r="E48" s="99">
        <f>+M48*0.32</f>
        <v>1594748.48</v>
      </c>
      <c r="F48" s="99">
        <f>+M48*0.39</f>
        <v>1943599.71</v>
      </c>
      <c r="G48" s="99">
        <f>+M48*0.45</f>
        <v>2242615.0500000003</v>
      </c>
      <c r="H48" s="99">
        <f>+M48*0.54</f>
        <v>2691138.06</v>
      </c>
      <c r="I48" s="99">
        <f>+M48*0.63</f>
        <v>3139661.07</v>
      </c>
      <c r="J48" s="99">
        <f>+M48*0.69</f>
        <v>3438676.4099999997</v>
      </c>
      <c r="K48" s="99">
        <f>+M48*0.79</f>
        <v>3937035.31</v>
      </c>
      <c r="L48" s="99">
        <f>+M48*0.91</f>
        <v>4535065.99</v>
      </c>
      <c r="M48" s="55">
        <f>M50-M47</f>
        <v>4983589</v>
      </c>
    </row>
    <row r="49" spans="1:14" ht="15.75" hidden="1">
      <c r="A49" s="53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55"/>
    </row>
    <row r="50" spans="1:14" ht="15.75" hidden="1">
      <c r="A50" s="53" t="s">
        <v>5</v>
      </c>
      <c r="B50" s="100">
        <v>544873</v>
      </c>
      <c r="C50" s="100">
        <f t="shared" ref="C50:L50" si="7">+C47+C48</f>
        <v>1357840.02</v>
      </c>
      <c r="D50" s="100">
        <f t="shared" si="7"/>
        <v>1851711.47</v>
      </c>
      <c r="E50" s="100">
        <f t="shared" si="7"/>
        <v>2667273.48</v>
      </c>
      <c r="F50" s="100">
        <f t="shared" si="7"/>
        <v>3260817.71</v>
      </c>
      <c r="G50" s="100">
        <f t="shared" si="7"/>
        <v>3804526.0500000003</v>
      </c>
      <c r="H50" s="100">
        <f t="shared" si="7"/>
        <v>4497742.0600000005</v>
      </c>
      <c r="I50" s="100">
        <f t="shared" si="7"/>
        <v>5190957.07</v>
      </c>
      <c r="J50" s="100">
        <f t="shared" si="7"/>
        <v>5734665.4100000001</v>
      </c>
      <c r="K50" s="100">
        <f t="shared" si="7"/>
        <v>6600063.3100000005</v>
      </c>
      <c r="L50" s="100">
        <f t="shared" si="7"/>
        <v>7442786.9900000002</v>
      </c>
      <c r="M50" s="2">
        <v>8203230</v>
      </c>
      <c r="N50" s="44"/>
    </row>
    <row r="51" spans="1:14" ht="15.75" hidden="1">
      <c r="A51" s="57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55"/>
    </row>
    <row r="52" spans="1:14" ht="15.75" hidden="1">
      <c r="A52" s="53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2"/>
    </row>
    <row r="53" spans="1:14" ht="15.75" hidden="1">
      <c r="A53" s="52" t="s">
        <v>32</v>
      </c>
      <c r="B53" s="100"/>
      <c r="C53" s="100"/>
      <c r="D53" s="100"/>
      <c r="E53" s="100"/>
      <c r="F53" s="103"/>
      <c r="G53" s="103"/>
      <c r="H53" s="103"/>
      <c r="I53" s="103"/>
      <c r="J53" s="103"/>
      <c r="K53" s="103"/>
      <c r="L53" s="103"/>
      <c r="M53" s="104"/>
    </row>
    <row r="54" spans="1:14" ht="15.75" hidden="1">
      <c r="A54" s="84" t="s">
        <v>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2"/>
    </row>
    <row r="55" spans="1:14" ht="15.75" hidden="1">
      <c r="A55" s="84" t="s">
        <v>7</v>
      </c>
      <c r="B55" s="99">
        <f>96238+123948</f>
        <v>220186</v>
      </c>
      <c r="C55" s="99">
        <v>455556</v>
      </c>
      <c r="D55" s="99">
        <f>121487+119296+C55</f>
        <v>696339</v>
      </c>
      <c r="E55" s="99">
        <f>122702+123952+122669+D55</f>
        <v>1065662</v>
      </c>
      <c r="F55" s="99">
        <f>125508+525+125176+E55</f>
        <v>1316871</v>
      </c>
      <c r="G55" s="99">
        <v>1567559</v>
      </c>
      <c r="H55" s="99">
        <f>125888.26+264.96+123027.26+G55</f>
        <v>1816739.48</v>
      </c>
      <c r="I55" s="99">
        <f>125174+125237+H55</f>
        <v>2067150.48</v>
      </c>
      <c r="J55" s="99">
        <f>126023+636+123960+1060+I55</f>
        <v>2318829.48</v>
      </c>
      <c r="K55" s="99">
        <v>2694664</v>
      </c>
      <c r="L55" s="99">
        <v>2945629</v>
      </c>
      <c r="M55" s="55">
        <v>3259287</v>
      </c>
    </row>
    <row r="56" spans="1:14" ht="15.75" hidden="1">
      <c r="A56" s="84" t="s">
        <v>8</v>
      </c>
      <c r="B56" s="99">
        <f t="shared" ref="B56:K56" si="8">+B58-B55</f>
        <v>324687</v>
      </c>
      <c r="C56" s="99">
        <f t="shared" si="8"/>
        <v>599976</v>
      </c>
      <c r="D56" s="99">
        <f t="shared" si="8"/>
        <v>969997</v>
      </c>
      <c r="E56" s="99">
        <f t="shared" si="8"/>
        <v>1277170</v>
      </c>
      <c r="F56" s="99">
        <f t="shared" si="8"/>
        <v>1586297</v>
      </c>
      <c r="G56" s="99">
        <f t="shared" si="8"/>
        <v>1865270</v>
      </c>
      <c r="H56" s="99">
        <f t="shared" si="8"/>
        <v>2133141.52</v>
      </c>
      <c r="I56" s="99">
        <f t="shared" si="8"/>
        <v>2436337.52</v>
      </c>
      <c r="J56" s="99">
        <f t="shared" si="8"/>
        <v>2788648.52</v>
      </c>
      <c r="K56" s="99">
        <f t="shared" si="8"/>
        <v>3241170</v>
      </c>
      <c r="L56" s="99">
        <f>+M56*86%</f>
        <v>4020902.48</v>
      </c>
      <c r="M56" s="55">
        <f>+M58-M55</f>
        <v>4675468</v>
      </c>
    </row>
    <row r="57" spans="1:14" ht="15.75" hidden="1">
      <c r="A57" s="8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0"/>
      <c r="M57" s="2"/>
    </row>
    <row r="58" spans="1:14" ht="15.75" hidden="1">
      <c r="A58" s="84" t="s">
        <v>5</v>
      </c>
      <c r="B58" s="1">
        <v>544873</v>
      </c>
      <c r="C58" s="1">
        <v>1055532</v>
      </c>
      <c r="D58" s="1">
        <v>1666336</v>
      </c>
      <c r="E58" s="1">
        <v>2342832</v>
      </c>
      <c r="F58" s="1">
        <v>2903168</v>
      </c>
      <c r="G58" s="1">
        <v>3432829</v>
      </c>
      <c r="H58" s="1">
        <v>3949881</v>
      </c>
      <c r="I58" s="1">
        <v>4503488</v>
      </c>
      <c r="J58" s="1">
        <v>5107478</v>
      </c>
      <c r="K58" s="1">
        <v>5935834</v>
      </c>
      <c r="L58" s="100">
        <f>SUM(L55:L57)</f>
        <v>6966531.4800000004</v>
      </c>
      <c r="M58" s="2">
        <v>7934755</v>
      </c>
    </row>
    <row r="59" spans="1:14" ht="15.75" hidden="1">
      <c r="A59" s="53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2"/>
    </row>
    <row r="60" spans="1:14" ht="15.75">
      <c r="A60" s="53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2"/>
    </row>
    <row r="61" spans="1:14" ht="15.75">
      <c r="A61" s="52" t="s">
        <v>30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2"/>
    </row>
    <row r="62" spans="1:14" ht="15.75">
      <c r="A62" s="53" t="s">
        <v>6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2"/>
    </row>
    <row r="63" spans="1:14" ht="15.75">
      <c r="A63" s="53" t="s">
        <v>7</v>
      </c>
      <c r="B63" s="99">
        <f>96238+123948</f>
        <v>220186</v>
      </c>
      <c r="C63" s="99">
        <v>455556</v>
      </c>
      <c r="D63" s="99">
        <f>121487+119296+C63</f>
        <v>696339</v>
      </c>
      <c r="E63" s="99">
        <f>122702+123952+122669+D63</f>
        <v>1065662</v>
      </c>
      <c r="F63" s="99">
        <f>125508+525+125176+E63</f>
        <v>1316871</v>
      </c>
      <c r="G63" s="99">
        <v>1567559</v>
      </c>
      <c r="H63" s="99">
        <f>125888.26+264.96+123027.26+G63</f>
        <v>1816739.48</v>
      </c>
      <c r="I63" s="99">
        <f>125174+125237+H63</f>
        <v>2067150.48</v>
      </c>
      <c r="J63" s="99">
        <f>126023+636+123960+1060+I63</f>
        <v>2318829.48</v>
      </c>
      <c r="K63" s="99">
        <v>2694664</v>
      </c>
      <c r="L63" s="99">
        <v>2951894</v>
      </c>
      <c r="M63" s="59">
        <f>126292+138967+L63</f>
        <v>3217153</v>
      </c>
    </row>
    <row r="64" spans="1:14" ht="15.75">
      <c r="A64" s="53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59"/>
    </row>
    <row r="65" spans="1:14" ht="15.75">
      <c r="A65" s="53" t="s">
        <v>8</v>
      </c>
      <c r="B65" s="99">
        <f t="shared" ref="B65:M65" si="9">+B68-B63</f>
        <v>324687</v>
      </c>
      <c r="C65" s="99">
        <f t="shared" si="9"/>
        <v>599976</v>
      </c>
      <c r="D65" s="99">
        <f t="shared" si="9"/>
        <v>969997</v>
      </c>
      <c r="E65" s="99">
        <f t="shared" si="9"/>
        <v>1277170</v>
      </c>
      <c r="F65" s="99">
        <f t="shared" si="9"/>
        <v>1586297</v>
      </c>
      <c r="G65" s="99">
        <f t="shared" si="9"/>
        <v>1865270</v>
      </c>
      <c r="H65" s="99">
        <f t="shared" si="9"/>
        <v>2133141.52</v>
      </c>
      <c r="I65" s="99">
        <f t="shared" si="9"/>
        <v>2436337.52</v>
      </c>
      <c r="J65" s="99">
        <f t="shared" si="9"/>
        <v>2788648.52</v>
      </c>
      <c r="K65" s="99">
        <f t="shared" si="9"/>
        <v>3241170</v>
      </c>
      <c r="L65" s="99">
        <f t="shared" si="9"/>
        <v>3660826</v>
      </c>
      <c r="M65" s="55">
        <f t="shared" si="9"/>
        <v>4168654</v>
      </c>
    </row>
    <row r="66" spans="1:14" ht="15.75">
      <c r="A66" s="53"/>
      <c r="B66" s="108">
        <f>+B65/$M$65</f>
        <v>7.7887730667980604E-2</v>
      </c>
      <c r="C66" s="108">
        <f t="shared" ref="C66:J66" si="10">+C65/$M$65</f>
        <v>0.14392559324904394</v>
      </c>
      <c r="D66" s="108">
        <f t="shared" si="10"/>
        <v>0.2326882969898677</v>
      </c>
      <c r="E66" s="108">
        <f t="shared" si="10"/>
        <v>0.30637467153666387</v>
      </c>
      <c r="F66" s="108">
        <f t="shared" si="10"/>
        <v>0.38052978251493169</v>
      </c>
      <c r="G66" s="108">
        <f t="shared" si="10"/>
        <v>0.44745138358808384</v>
      </c>
      <c r="H66" s="108">
        <f t="shared" si="10"/>
        <v>0.51170989964626468</v>
      </c>
      <c r="I66" s="108">
        <f t="shared" si="10"/>
        <v>0.5844422492248097</v>
      </c>
      <c r="J66" s="108">
        <f t="shared" si="10"/>
        <v>0.66895657926995145</v>
      </c>
      <c r="K66" s="108">
        <f>+K65/$M$65</f>
        <v>0.77750995885002694</v>
      </c>
      <c r="L66" s="108">
        <f>+L65/$M$65</f>
        <v>0.87817938356121661</v>
      </c>
      <c r="M66" s="108">
        <f>+M65/$M$65</f>
        <v>1</v>
      </c>
    </row>
    <row r="67" spans="1:14" ht="15.75">
      <c r="A67" s="53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59"/>
      <c r="N67" s="45"/>
    </row>
    <row r="68" spans="1:14" ht="16.5" thickBot="1">
      <c r="A68" s="61" t="s">
        <v>5</v>
      </c>
      <c r="B68" s="3">
        <v>544873</v>
      </c>
      <c r="C68" s="3">
        <v>1055532</v>
      </c>
      <c r="D68" s="3">
        <v>1666336</v>
      </c>
      <c r="E68" s="3">
        <v>2342832</v>
      </c>
      <c r="F68" s="3">
        <v>2903168</v>
      </c>
      <c r="G68" s="3">
        <v>3432829</v>
      </c>
      <c r="H68" s="3">
        <v>3949881</v>
      </c>
      <c r="I68" s="3">
        <v>4503488</v>
      </c>
      <c r="J68" s="3">
        <v>5107478</v>
      </c>
      <c r="K68" s="3">
        <v>5935834</v>
      </c>
      <c r="L68" s="3">
        <v>6612720</v>
      </c>
      <c r="M68" s="4">
        <v>7385807</v>
      </c>
    </row>
    <row r="69" spans="1:14">
      <c r="B69" s="54"/>
      <c r="C69" s="54"/>
    </row>
    <row r="70" spans="1:14" ht="15.75">
      <c r="A70" s="45"/>
      <c r="B70" s="6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1:14" ht="15.7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spans="1:14" ht="15.75">
      <c r="A72" s="45"/>
      <c r="B72" s="45"/>
      <c r="C72" s="44"/>
      <c r="D72" s="44"/>
      <c r="E72" s="45"/>
      <c r="F72" s="45"/>
      <c r="G72" s="45"/>
      <c r="H72" s="45"/>
      <c r="I72" s="45"/>
      <c r="J72" s="45"/>
      <c r="K72" s="45"/>
      <c r="L72" s="45"/>
      <c r="M72" s="45"/>
    </row>
    <row r="73" spans="1:14" ht="15.75">
      <c r="A73" s="45"/>
      <c r="B73" s="45"/>
      <c r="C73" s="44"/>
      <c r="D73" s="44"/>
      <c r="E73" s="45"/>
      <c r="F73" s="45"/>
      <c r="G73" s="45"/>
      <c r="H73" s="45"/>
      <c r="I73" s="45"/>
      <c r="J73" s="45"/>
      <c r="K73" s="45"/>
      <c r="L73" s="45"/>
      <c r="M73" s="45"/>
    </row>
    <row r="74" spans="1:14" ht="15.75">
      <c r="A74" s="45"/>
      <c r="B74" s="45"/>
      <c r="C74" s="44"/>
      <c r="D74" s="44"/>
      <c r="E74" s="45"/>
      <c r="F74" s="45"/>
      <c r="G74" s="45"/>
      <c r="H74" s="45"/>
      <c r="I74" s="45"/>
      <c r="J74" s="45"/>
      <c r="K74" s="45"/>
      <c r="L74" s="45"/>
      <c r="M74" s="45"/>
    </row>
    <row r="75" spans="1:14" ht="15.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4" ht="15.7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84" spans="1:8" ht="15.75">
      <c r="A84" s="44"/>
      <c r="B84" s="65"/>
      <c r="C84" s="65"/>
      <c r="D84" s="65"/>
      <c r="E84" s="65"/>
      <c r="F84" s="65"/>
      <c r="G84" s="65"/>
      <c r="H84" s="65"/>
    </row>
    <row r="85" spans="1:8" ht="15.75">
      <c r="A85" s="44"/>
      <c r="B85" s="65"/>
      <c r="C85" s="65"/>
      <c r="D85" s="65"/>
      <c r="E85" s="65"/>
      <c r="F85" s="65"/>
      <c r="G85" s="65"/>
      <c r="H85" s="65"/>
    </row>
    <row r="86" spans="1:8" ht="15.75">
      <c r="A86" s="44"/>
      <c r="B86" s="65"/>
      <c r="C86" s="65"/>
      <c r="D86" s="65"/>
      <c r="E86" s="65"/>
      <c r="F86" s="65"/>
      <c r="G86" s="65"/>
      <c r="H86" s="65"/>
    </row>
    <row r="87" spans="1:8" ht="15.75">
      <c r="A87" s="44"/>
      <c r="B87" s="65"/>
      <c r="C87" s="65"/>
      <c r="D87" s="65"/>
      <c r="E87" s="65"/>
      <c r="F87" s="65"/>
      <c r="G87" s="65"/>
      <c r="H87" s="65"/>
    </row>
    <row r="88" spans="1:8" ht="15.75">
      <c r="A88" s="44"/>
      <c r="B88" s="65"/>
      <c r="C88" s="65"/>
      <c r="D88" s="65"/>
      <c r="E88" s="65"/>
      <c r="F88" s="65"/>
      <c r="G88" s="65"/>
      <c r="H88" s="65"/>
    </row>
    <row r="89" spans="1:8" ht="15.75">
      <c r="A89" s="44"/>
      <c r="B89" s="65"/>
      <c r="C89" s="65"/>
      <c r="D89" s="65"/>
      <c r="E89" s="65"/>
      <c r="F89" s="65"/>
      <c r="G89" s="65"/>
      <c r="H89" s="65"/>
    </row>
    <row r="90" spans="1:8" ht="15.75">
      <c r="A90" s="44"/>
      <c r="B90" s="65"/>
      <c r="C90" s="65"/>
      <c r="D90" s="65"/>
      <c r="E90" s="65"/>
      <c r="F90" s="65"/>
      <c r="G90" s="65"/>
      <c r="H90" s="65"/>
    </row>
    <row r="91" spans="1:8" ht="15.75">
      <c r="A91" s="44"/>
      <c r="B91" s="65"/>
      <c r="C91" s="65"/>
      <c r="D91" s="65"/>
      <c r="E91" s="65"/>
      <c r="F91" s="65"/>
      <c r="G91" s="65"/>
      <c r="H91" s="65"/>
    </row>
    <row r="92" spans="1:8" ht="15.75">
      <c r="A92" s="44"/>
      <c r="B92" s="65"/>
      <c r="C92" s="65"/>
      <c r="D92" s="65"/>
      <c r="E92" s="65"/>
      <c r="F92" s="65"/>
      <c r="G92" s="65"/>
      <c r="H92" s="65"/>
    </row>
    <row r="93" spans="1:8" ht="15.75">
      <c r="A93" s="44"/>
      <c r="B93" s="65"/>
      <c r="C93" s="65"/>
      <c r="D93" s="65"/>
      <c r="E93" s="65"/>
      <c r="F93" s="65"/>
      <c r="G93" s="65"/>
      <c r="H93" s="65"/>
    </row>
    <row r="94" spans="1:8" ht="0.95" customHeight="1">
      <c r="A94" s="44"/>
      <c r="B94" s="65"/>
      <c r="C94" s="65"/>
      <c r="D94" s="65"/>
      <c r="E94" s="65"/>
      <c r="F94" s="65"/>
      <c r="G94" s="65"/>
      <c r="H94" s="65"/>
    </row>
    <row r="95" spans="1:8" ht="15.75">
      <c r="A95" s="44"/>
      <c r="B95" s="65"/>
      <c r="C95" s="65"/>
      <c r="D95" s="65"/>
      <c r="E95" s="65"/>
      <c r="F95" s="65"/>
      <c r="G95" s="65"/>
      <c r="H95" s="65"/>
    </row>
    <row r="96" spans="1:8" ht="15.75">
      <c r="A96" s="44"/>
      <c r="B96" s="65"/>
      <c r="C96" s="65"/>
      <c r="D96" s="65"/>
      <c r="E96" s="65"/>
      <c r="F96" s="65"/>
      <c r="G96" s="65"/>
      <c r="H96" s="65"/>
    </row>
    <row r="120" spans="1:8" ht="15.75">
      <c r="A120" s="44"/>
      <c r="B120" s="44"/>
      <c r="C120" s="45"/>
      <c r="D120" s="45"/>
      <c r="E120" s="45"/>
    </row>
    <row r="122" spans="1:8" ht="15.75">
      <c r="A122" s="44"/>
      <c r="B122" s="44"/>
      <c r="C122" s="44"/>
      <c r="D122" s="44"/>
      <c r="E122" s="44"/>
      <c r="F122" s="44"/>
      <c r="G122" s="45"/>
      <c r="H122" s="45"/>
    </row>
    <row r="124" spans="1:8" ht="15.75">
      <c r="A124" s="44"/>
      <c r="B124" s="44"/>
      <c r="C124" s="44"/>
      <c r="D124" s="45"/>
    </row>
    <row r="125" spans="1:8" ht="15.75">
      <c r="A125" s="44"/>
      <c r="B125" s="44"/>
      <c r="C125" s="44"/>
      <c r="D125" s="45"/>
    </row>
    <row r="126" spans="1:8" ht="15.75">
      <c r="A126" s="44"/>
      <c r="B126" s="44"/>
      <c r="C126" s="44"/>
      <c r="D126" s="45"/>
    </row>
    <row r="129" spans="1:6" ht="15.75">
      <c r="A129" s="44"/>
      <c r="C129" s="45" t="s">
        <v>9</v>
      </c>
      <c r="D129" s="45"/>
      <c r="E129" s="45"/>
      <c r="F129" s="66">
        <v>4627259</v>
      </c>
    </row>
  </sheetData>
  <phoneticPr fontId="13" type="noConversion"/>
  <printOptions horizontalCentered="1" verticalCentered="1"/>
  <pageMargins left="0.25" right="0.25" top="0.5" bottom="0.5" header="0.5" footer="0.5"/>
  <pageSetup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3"/>
  <sheetViews>
    <sheetView defaultGridColor="0" topLeftCell="A3" colorId="22" zoomScale="87" workbookViewId="0">
      <selection activeCell="E8" sqref="E8"/>
    </sheetView>
  </sheetViews>
  <sheetFormatPr defaultColWidth="12.5703125" defaultRowHeight="15"/>
  <cols>
    <col min="1" max="1" width="26.7109375" style="40" customWidth="1"/>
    <col min="2" max="2" width="13.7109375" style="40" customWidth="1"/>
    <col min="3" max="3" width="15.28515625" style="40" customWidth="1"/>
    <col min="4" max="4" width="15.140625" style="40" customWidth="1"/>
    <col min="5" max="13" width="14.5703125" style="40" customWidth="1"/>
    <col min="14" max="16384" width="12.5703125" style="40"/>
  </cols>
  <sheetData>
    <row r="1" spans="1:36" ht="20.25">
      <c r="A1" s="37" t="s">
        <v>31</v>
      </c>
      <c r="B1" s="38"/>
      <c r="C1" s="38"/>
      <c r="D1" s="38"/>
      <c r="E1" s="39"/>
      <c r="F1" s="39"/>
      <c r="G1" s="39"/>
      <c r="H1" s="39"/>
      <c r="I1" s="39"/>
      <c r="J1" s="39"/>
      <c r="K1" s="39"/>
      <c r="L1" s="39"/>
      <c r="M1" s="39"/>
    </row>
    <row r="2" spans="1:36" ht="18.75">
      <c r="A2" s="41" t="s">
        <v>28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</row>
    <row r="3" spans="1:3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36" ht="18.75" thickBot="1">
      <c r="A5" s="42" t="s">
        <v>22</v>
      </c>
      <c r="B5" s="43"/>
      <c r="C5" s="43"/>
      <c r="D5" s="44"/>
      <c r="E5" s="44"/>
      <c r="F5" s="44"/>
      <c r="G5" s="44"/>
      <c r="H5" s="44"/>
      <c r="I5" s="45"/>
      <c r="J5" s="45"/>
      <c r="K5" s="45"/>
      <c r="L5" s="45"/>
      <c r="M5" s="45"/>
    </row>
    <row r="6" spans="1:36" ht="15.75">
      <c r="A6" s="46"/>
      <c r="B6" s="47" t="s">
        <v>10</v>
      </c>
      <c r="C6" s="47" t="s">
        <v>11</v>
      </c>
      <c r="D6" s="47" t="s">
        <v>12</v>
      </c>
      <c r="E6" s="47" t="s">
        <v>13</v>
      </c>
      <c r="F6" s="47" t="s">
        <v>14</v>
      </c>
      <c r="G6" s="47" t="s">
        <v>15</v>
      </c>
      <c r="H6" s="47" t="s">
        <v>16</v>
      </c>
      <c r="I6" s="47" t="s">
        <v>17</v>
      </c>
      <c r="J6" s="47" t="s">
        <v>18</v>
      </c>
      <c r="K6" s="47" t="s">
        <v>19</v>
      </c>
      <c r="L6" s="47" t="s">
        <v>20</v>
      </c>
      <c r="M6" s="48" t="s">
        <v>21</v>
      </c>
    </row>
    <row r="7" spans="1:36" ht="15.7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36" ht="15.75">
      <c r="A8" s="83" t="s">
        <v>29</v>
      </c>
      <c r="B8" s="50"/>
      <c r="C8" s="50"/>
      <c r="D8" s="50"/>
      <c r="E8" s="101"/>
      <c r="F8" s="101"/>
      <c r="G8" s="101"/>
      <c r="H8" s="50"/>
      <c r="I8" s="50"/>
      <c r="J8" s="50"/>
      <c r="K8" s="50"/>
      <c r="L8" s="50"/>
      <c r="M8" s="51"/>
    </row>
    <row r="9" spans="1:36" ht="15.75">
      <c r="A9" s="53" t="s">
        <v>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36" ht="15.75">
      <c r="A10" s="53" t="s">
        <v>2</v>
      </c>
      <c r="B10" s="56">
        <v>49350</v>
      </c>
      <c r="C10" s="56">
        <f>+M10*18%</f>
        <v>298495.44</v>
      </c>
      <c r="D10" s="56">
        <f>+M10*57%</f>
        <v>945235.55999999994</v>
      </c>
      <c r="E10" s="56">
        <f>+M10*68%</f>
        <v>1127649.4400000002</v>
      </c>
      <c r="F10" s="56">
        <f>M10*71%</f>
        <v>1177398.68</v>
      </c>
      <c r="G10" s="56">
        <f>+M10*78%</f>
        <v>1293480.24</v>
      </c>
      <c r="H10" s="56">
        <f>+M10*81%</f>
        <v>1343229.48</v>
      </c>
      <c r="I10" s="56">
        <f>+M10*84%</f>
        <v>1392978.72</v>
      </c>
      <c r="J10" s="56">
        <f>+M10*88%</f>
        <v>1459311.04</v>
      </c>
      <c r="K10" s="56">
        <f>+M10*93%</f>
        <v>1542226.4400000002</v>
      </c>
      <c r="L10" s="56">
        <f>+M10*96%</f>
        <v>1591975.68</v>
      </c>
      <c r="M10" s="55">
        <v>1658308</v>
      </c>
    </row>
    <row r="11" spans="1:36" ht="15.75">
      <c r="A11" s="53" t="s">
        <v>27</v>
      </c>
      <c r="B11" s="54">
        <v>0</v>
      </c>
      <c r="C11" s="54">
        <v>0</v>
      </c>
      <c r="D11" s="54">
        <v>0</v>
      </c>
      <c r="E11" s="54">
        <f>+M11*11%</f>
        <v>233490.51</v>
      </c>
      <c r="F11" s="54">
        <f>+M11*30%</f>
        <v>636792.29999999993</v>
      </c>
      <c r="G11" s="54">
        <f>+M11*39%</f>
        <v>827829.99</v>
      </c>
      <c r="H11" s="54">
        <f>+M11*50%</f>
        <v>1061320.5</v>
      </c>
      <c r="I11" s="54">
        <f>+M11*0.6</f>
        <v>1273584.5999999999</v>
      </c>
      <c r="J11" s="54">
        <f>+M11*0.7</f>
        <v>1485848.7</v>
      </c>
      <c r="K11" s="54">
        <f>+M11*0.8</f>
        <v>1698112.8</v>
      </c>
      <c r="L11" s="54">
        <f>+M11*0.9</f>
        <v>1910376.9000000001</v>
      </c>
      <c r="M11" s="55">
        <v>2122641</v>
      </c>
    </row>
    <row r="12" spans="1:36" ht="15.75">
      <c r="A12" s="53" t="s">
        <v>4</v>
      </c>
      <c r="B12" s="54">
        <v>1024</v>
      </c>
      <c r="C12" s="54">
        <f>+B12</f>
        <v>1024</v>
      </c>
      <c r="D12" s="54">
        <f>+M12*0.02</f>
        <v>15807.98</v>
      </c>
      <c r="E12" s="54">
        <f>+M12*0.03</f>
        <v>23711.969999999998</v>
      </c>
      <c r="F12" s="54">
        <f>+M12*0.13</f>
        <v>102751.87000000001</v>
      </c>
      <c r="G12" s="54">
        <f>+M12*0.15</f>
        <v>118559.84999999999</v>
      </c>
      <c r="H12" s="54">
        <f>+M12*0.16</f>
        <v>126463.84</v>
      </c>
      <c r="I12" s="54">
        <f>+M12*0.19</f>
        <v>150175.81</v>
      </c>
      <c r="J12" s="54">
        <f>+M12*0.37</f>
        <v>292447.63</v>
      </c>
      <c r="K12" s="54">
        <f>+M12*0.54</f>
        <v>426815.46</v>
      </c>
      <c r="L12" s="54">
        <f>+M12*0.61</f>
        <v>482143.39</v>
      </c>
      <c r="M12" s="55">
        <v>790399</v>
      </c>
    </row>
    <row r="13" spans="1:36" ht="15.75">
      <c r="A13" s="53" t="s">
        <v>25</v>
      </c>
      <c r="B13" s="54">
        <v>0</v>
      </c>
      <c r="C13" s="54">
        <v>0</v>
      </c>
      <c r="D13" s="54">
        <f>+M13*0.01</f>
        <v>32827.43</v>
      </c>
      <c r="E13" s="54">
        <f>+M13*0.01</f>
        <v>32827.43</v>
      </c>
      <c r="F13" s="54">
        <f>+M13*0.02</f>
        <v>65654.86</v>
      </c>
      <c r="G13" s="54">
        <f>+M13*0.8</f>
        <v>2626194.4000000004</v>
      </c>
      <c r="H13" s="54">
        <f>+M13*0.8</f>
        <v>2626194.4000000004</v>
      </c>
      <c r="I13" s="54">
        <f>+M13*0.98</f>
        <v>3217088.14</v>
      </c>
      <c r="J13" s="54">
        <f>+M13</f>
        <v>3282743</v>
      </c>
      <c r="K13" s="54">
        <f>M13*0.9919</f>
        <v>3256152.7817000002</v>
      </c>
      <c r="L13" s="54">
        <f>+K13</f>
        <v>3256152.7817000002</v>
      </c>
      <c r="M13" s="55">
        <v>3282743</v>
      </c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36" ht="15.75">
      <c r="A15" s="53" t="s">
        <v>5</v>
      </c>
      <c r="B15" s="1">
        <f t="shared" ref="B15:M15" si="0">SUM(B10:B14)</f>
        <v>50374</v>
      </c>
      <c r="C15" s="1">
        <f t="shared" si="0"/>
        <v>299519.44</v>
      </c>
      <c r="D15" s="1">
        <f t="shared" si="0"/>
        <v>993870.97</v>
      </c>
      <c r="E15" s="1">
        <f t="shared" si="0"/>
        <v>1417679.35</v>
      </c>
      <c r="F15" s="1">
        <f t="shared" si="0"/>
        <v>1982597.7100000002</v>
      </c>
      <c r="G15" s="1">
        <f t="shared" si="0"/>
        <v>4866064.4800000004</v>
      </c>
      <c r="H15" s="1">
        <f t="shared" si="0"/>
        <v>5157208.2200000007</v>
      </c>
      <c r="I15" s="1">
        <f t="shared" si="0"/>
        <v>6033827.2699999996</v>
      </c>
      <c r="J15" s="1">
        <f t="shared" si="0"/>
        <v>6520350.3700000001</v>
      </c>
      <c r="K15" s="1">
        <f t="shared" si="0"/>
        <v>6923307.4817000004</v>
      </c>
      <c r="L15" s="1">
        <f t="shared" si="0"/>
        <v>7240648.7517000008</v>
      </c>
      <c r="M15" s="2">
        <f t="shared" si="0"/>
        <v>7854091</v>
      </c>
    </row>
    <row r="16" spans="1:36" ht="15.75">
      <c r="A16" s="5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53"/>
      <c r="B17" s="1"/>
      <c r="C17" s="1"/>
      <c r="D17" s="1"/>
      <c r="E17" s="1"/>
      <c r="F17" s="1"/>
      <c r="G17" s="1"/>
      <c r="H17" s="102"/>
      <c r="I17" s="1"/>
      <c r="J17" s="1"/>
      <c r="K17" s="1"/>
      <c r="L17" s="1"/>
      <c r="M17" s="2"/>
    </row>
    <row r="18" spans="1:16" ht="15.75">
      <c r="A18" s="52" t="s">
        <v>32</v>
      </c>
      <c r="B18" s="1"/>
      <c r="C18" s="1"/>
      <c r="D18" s="1"/>
      <c r="E18" s="101"/>
      <c r="F18" s="101"/>
      <c r="G18" s="101"/>
      <c r="H18" s="102"/>
      <c r="I18" s="1"/>
      <c r="J18" s="1"/>
      <c r="K18" s="1"/>
      <c r="L18" s="1"/>
      <c r="M18" s="2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56">
        <v>49350</v>
      </c>
      <c r="C20" s="56">
        <v>254756</v>
      </c>
      <c r="D20" s="56">
        <v>944393</v>
      </c>
      <c r="E20" s="58">
        <v>1029966</v>
      </c>
      <c r="F20" s="56">
        <v>1115254</v>
      </c>
      <c r="G20" s="56">
        <v>1196327</v>
      </c>
      <c r="H20" s="56">
        <v>1292992</v>
      </c>
      <c r="I20" s="56">
        <v>1339766</v>
      </c>
      <c r="J20" s="56">
        <v>1398453</v>
      </c>
      <c r="K20" s="56">
        <v>1504609</v>
      </c>
      <c r="L20" s="56">
        <f>+M20*0.96</f>
        <v>1582613.76</v>
      </c>
      <c r="M20" s="55">
        <v>1648556</v>
      </c>
    </row>
    <row r="21" spans="1:16" ht="15.75">
      <c r="A21" s="84" t="s">
        <v>3</v>
      </c>
      <c r="B21" s="54">
        <v>0</v>
      </c>
      <c r="C21" s="54">
        <v>0</v>
      </c>
      <c r="D21" s="54">
        <v>0</v>
      </c>
      <c r="E21" s="60">
        <v>165701</v>
      </c>
      <c r="F21" s="54">
        <v>488132</v>
      </c>
      <c r="G21" s="54">
        <v>688878</v>
      </c>
      <c r="H21" s="54">
        <v>862157</v>
      </c>
      <c r="I21" s="54">
        <v>1067984</v>
      </c>
      <c r="J21" s="54">
        <v>1245839</v>
      </c>
      <c r="K21" s="54">
        <v>1439018</v>
      </c>
      <c r="L21" s="54">
        <f>+K21+200000</f>
        <v>1639018</v>
      </c>
      <c r="M21" s="55">
        <v>2208592</v>
      </c>
    </row>
    <row r="22" spans="1:16" ht="15.75">
      <c r="A22" s="84" t="s">
        <v>4</v>
      </c>
      <c r="B22" s="54">
        <v>1024</v>
      </c>
      <c r="C22" s="54">
        <v>1574</v>
      </c>
      <c r="D22" s="54">
        <v>2574</v>
      </c>
      <c r="E22" s="60">
        <v>2574</v>
      </c>
      <c r="F22" s="54">
        <v>84383</v>
      </c>
      <c r="G22" s="54">
        <v>84383</v>
      </c>
      <c r="H22" s="54">
        <v>153508</v>
      </c>
      <c r="I22" s="54">
        <v>155891</v>
      </c>
      <c r="J22" s="54">
        <v>233936</v>
      </c>
      <c r="K22" s="54">
        <v>260579</v>
      </c>
      <c r="L22" s="54">
        <f>+K22+42371</f>
        <v>302950</v>
      </c>
      <c r="M22" s="55">
        <v>742021</v>
      </c>
    </row>
    <row r="23" spans="1:16" ht="15.75">
      <c r="A23" s="84" t="s">
        <v>25</v>
      </c>
      <c r="B23" s="54">
        <v>0</v>
      </c>
      <c r="C23" s="60">
        <v>0</v>
      </c>
      <c r="D23" s="60">
        <v>0</v>
      </c>
      <c r="E23" s="54">
        <v>3657</v>
      </c>
      <c r="F23" s="54">
        <v>47618</v>
      </c>
      <c r="G23" s="54">
        <f>47618+2578595</f>
        <v>2626213</v>
      </c>
      <c r="H23" s="54">
        <f>78979+2578595</f>
        <v>2657574</v>
      </c>
      <c r="I23" s="54">
        <f>95455+2578595</f>
        <v>2674050</v>
      </c>
      <c r="J23" s="54">
        <v>2578595</v>
      </c>
      <c r="K23" s="54">
        <f>772722+2180878</f>
        <v>2953600</v>
      </c>
      <c r="L23" s="54">
        <f>+K23</f>
        <v>2953600</v>
      </c>
      <c r="M23" s="55">
        <v>2973504</v>
      </c>
    </row>
    <row r="24" spans="1:16">
      <c r="A24" s="8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6" ht="15.75">
      <c r="A25" s="84" t="s">
        <v>5</v>
      </c>
      <c r="B25" s="1">
        <f t="shared" ref="B25:M25" si="1">SUM(B20:B24)</f>
        <v>50374</v>
      </c>
      <c r="C25" s="1">
        <f t="shared" si="1"/>
        <v>256330</v>
      </c>
      <c r="D25" s="1">
        <f t="shared" si="1"/>
        <v>946967</v>
      </c>
      <c r="E25" s="1">
        <f t="shared" si="1"/>
        <v>1201898</v>
      </c>
      <c r="F25" s="1">
        <f t="shared" si="1"/>
        <v>1735387</v>
      </c>
      <c r="G25" s="1">
        <f t="shared" si="1"/>
        <v>4595801</v>
      </c>
      <c r="H25" s="1">
        <f>SUM(H20:H24)</f>
        <v>4966231</v>
      </c>
      <c r="I25" s="1">
        <f>SUM(I20:I24)</f>
        <v>5237691</v>
      </c>
      <c r="J25" s="1">
        <f>SUM(J20:J24)</f>
        <v>5456823</v>
      </c>
      <c r="K25" s="1">
        <f>SUM(K20:K24)</f>
        <v>6157806</v>
      </c>
      <c r="L25" s="1">
        <f t="shared" si="1"/>
        <v>6478181.7599999998</v>
      </c>
      <c r="M25" s="2">
        <f t="shared" si="1"/>
        <v>7572673</v>
      </c>
    </row>
    <row r="26" spans="1:16" ht="15.75">
      <c r="A26" s="5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5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30</v>
      </c>
      <c r="B28" s="5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6" ht="15.75">
      <c r="A29" s="53" t="s">
        <v>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6" ht="15.75">
      <c r="A30" s="53" t="s">
        <v>2</v>
      </c>
      <c r="B30" s="56">
        <v>49350</v>
      </c>
      <c r="C30" s="56">
        <v>254756</v>
      </c>
      <c r="D30" s="56">
        <v>944393</v>
      </c>
      <c r="E30" s="58">
        <v>1029966</v>
      </c>
      <c r="F30" s="56">
        <v>1115254</v>
      </c>
      <c r="G30" s="56">
        <v>1196327</v>
      </c>
      <c r="H30" s="56">
        <v>1292992</v>
      </c>
      <c r="I30" s="56">
        <v>1339766</v>
      </c>
      <c r="J30" s="56">
        <v>1398453</v>
      </c>
      <c r="K30" s="56">
        <v>1504609</v>
      </c>
      <c r="L30" s="56">
        <v>1542791</v>
      </c>
      <c r="M30" s="59">
        <v>1611987</v>
      </c>
      <c r="N30" s="45"/>
      <c r="O30" s="45"/>
      <c r="P30" s="45"/>
    </row>
    <row r="31" spans="1:16" ht="15.75">
      <c r="A31" s="53" t="s">
        <v>3</v>
      </c>
      <c r="B31" s="54">
        <v>0</v>
      </c>
      <c r="C31" s="54">
        <v>0</v>
      </c>
      <c r="D31" s="54">
        <v>0</v>
      </c>
      <c r="E31" s="60">
        <v>165701</v>
      </c>
      <c r="F31" s="54">
        <v>488132</v>
      </c>
      <c r="G31" s="54">
        <v>688878</v>
      </c>
      <c r="H31" s="54">
        <v>862157</v>
      </c>
      <c r="I31" s="54">
        <v>1067984</v>
      </c>
      <c r="J31" s="54">
        <v>1245839</v>
      </c>
      <c r="K31" s="54">
        <v>1439018</v>
      </c>
      <c r="L31" s="54">
        <v>1620061</v>
      </c>
      <c r="M31" s="55">
        <v>1810104</v>
      </c>
    </row>
    <row r="32" spans="1:16" ht="15.75">
      <c r="A32" s="53" t="s">
        <v>4</v>
      </c>
      <c r="B32" s="54">
        <v>1024</v>
      </c>
      <c r="C32" s="54">
        <v>1574</v>
      </c>
      <c r="D32" s="54">
        <v>2574</v>
      </c>
      <c r="E32" s="60">
        <v>2574</v>
      </c>
      <c r="F32" s="54">
        <v>84383</v>
      </c>
      <c r="G32" s="54">
        <v>84383</v>
      </c>
      <c r="H32" s="54">
        <v>153508</v>
      </c>
      <c r="I32" s="54">
        <v>155891</v>
      </c>
      <c r="J32" s="54">
        <v>233936</v>
      </c>
      <c r="K32" s="54">
        <v>260579</v>
      </c>
      <c r="L32" s="54">
        <v>267642</v>
      </c>
      <c r="M32" s="55">
        <v>453460</v>
      </c>
    </row>
    <row r="33" spans="1:14" ht="15.75">
      <c r="A33" s="53" t="s">
        <v>25</v>
      </c>
      <c r="B33" s="54">
        <v>0</v>
      </c>
      <c r="C33" s="60">
        <v>0</v>
      </c>
      <c r="D33" s="60">
        <v>0</v>
      </c>
      <c r="E33" s="54">
        <v>3657</v>
      </c>
      <c r="F33" s="54">
        <v>47618</v>
      </c>
      <c r="G33" s="54">
        <f>47618+2578595</f>
        <v>2626213</v>
      </c>
      <c r="H33" s="54">
        <f>78979+2578595</f>
        <v>2657574</v>
      </c>
      <c r="I33" s="54">
        <f>95455+2578595</f>
        <v>2674050</v>
      </c>
      <c r="J33" s="54">
        <v>2578595</v>
      </c>
      <c r="K33" s="54">
        <f>772722+2180878</f>
        <v>2953600</v>
      </c>
      <c r="L33" s="54">
        <f>772512+2180878</f>
        <v>2953390</v>
      </c>
      <c r="M33" s="55">
        <f>822065+2180878</f>
        <v>3002943</v>
      </c>
    </row>
    <row r="34" spans="1:14">
      <c r="A34" s="5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4" ht="16.5" thickBot="1">
      <c r="A35" s="61" t="s">
        <v>5</v>
      </c>
      <c r="B35" s="3">
        <f t="shared" ref="B35:M35" si="2">SUM(B30:B34)</f>
        <v>50374</v>
      </c>
      <c r="C35" s="3">
        <f t="shared" si="2"/>
        <v>256330</v>
      </c>
      <c r="D35" s="3">
        <f t="shared" si="2"/>
        <v>946967</v>
      </c>
      <c r="E35" s="3">
        <f t="shared" si="2"/>
        <v>1201898</v>
      </c>
      <c r="F35" s="3">
        <f t="shared" si="2"/>
        <v>1735387</v>
      </c>
      <c r="G35" s="3">
        <f t="shared" si="2"/>
        <v>4595801</v>
      </c>
      <c r="H35" s="3">
        <f t="shared" si="2"/>
        <v>4966231</v>
      </c>
      <c r="I35" s="3">
        <f t="shared" si="2"/>
        <v>5237691</v>
      </c>
      <c r="J35" s="3">
        <f t="shared" si="2"/>
        <v>5456823</v>
      </c>
      <c r="K35" s="3">
        <f t="shared" si="2"/>
        <v>6157806</v>
      </c>
      <c r="L35" s="3">
        <f t="shared" si="2"/>
        <v>6383884</v>
      </c>
      <c r="M35" s="4">
        <f t="shared" si="2"/>
        <v>6878494</v>
      </c>
    </row>
    <row r="36" spans="1:14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62"/>
    </row>
    <row r="37" spans="1:14" ht="15.75">
      <c r="A37" s="56"/>
      <c r="B37" s="50"/>
      <c r="C37" s="5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62"/>
    </row>
    <row r="38" spans="1:14" ht="18.75" thickBot="1">
      <c r="A38" s="63" t="s">
        <v>23</v>
      </c>
      <c r="B38" s="56"/>
      <c r="C38" s="56"/>
      <c r="D38" s="56"/>
      <c r="E38" s="56"/>
      <c r="F38" s="56"/>
      <c r="G38" s="56"/>
      <c r="H38" s="56"/>
      <c r="I38" s="56"/>
      <c r="J38" s="50"/>
      <c r="K38" s="54"/>
      <c r="L38" s="54"/>
      <c r="M38" s="54"/>
      <c r="N38" s="62"/>
    </row>
    <row r="39" spans="1:14" ht="15.75">
      <c r="A39" s="46"/>
      <c r="B39" s="47" t="s">
        <v>10</v>
      </c>
      <c r="C39" s="47" t="s">
        <v>11</v>
      </c>
      <c r="D39" s="47" t="s">
        <v>12</v>
      </c>
      <c r="E39" s="47" t="s">
        <v>13</v>
      </c>
      <c r="F39" s="47" t="s">
        <v>14</v>
      </c>
      <c r="G39" s="47" t="s">
        <v>15</v>
      </c>
      <c r="H39" s="47" t="s">
        <v>16</v>
      </c>
      <c r="I39" s="47" t="s">
        <v>17</v>
      </c>
      <c r="J39" s="47" t="s">
        <v>18</v>
      </c>
      <c r="K39" s="47" t="s">
        <v>19</v>
      </c>
      <c r="L39" s="47" t="s">
        <v>20</v>
      </c>
      <c r="M39" s="48" t="s">
        <v>21</v>
      </c>
    </row>
    <row r="40" spans="1:14" ht="15.75">
      <c r="A40" s="4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51"/>
    </row>
    <row r="41" spans="1:14" ht="15.75">
      <c r="A41" s="83" t="s">
        <v>29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51"/>
    </row>
    <row r="42" spans="1:14" ht="15.75">
      <c r="A42" s="53" t="s">
        <v>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55"/>
    </row>
    <row r="43" spans="1:14" ht="15.75">
      <c r="A43" s="53" t="s">
        <v>7</v>
      </c>
      <c r="B43" s="99">
        <v>220186</v>
      </c>
      <c r="C43" s="99">
        <v>460794</v>
      </c>
      <c r="D43" s="99">
        <v>705486</v>
      </c>
      <c r="E43" s="99">
        <v>1072525</v>
      </c>
      <c r="F43" s="99">
        <v>1317218</v>
      </c>
      <c r="G43" s="99">
        <v>1561911</v>
      </c>
      <c r="H43" s="99">
        <v>1806604</v>
      </c>
      <c r="I43" s="99">
        <v>2051296</v>
      </c>
      <c r="J43" s="99">
        <v>2295989</v>
      </c>
      <c r="K43" s="99">
        <v>2663028</v>
      </c>
      <c r="L43" s="99">
        <v>2907721</v>
      </c>
      <c r="M43" s="55">
        <v>3219641</v>
      </c>
    </row>
    <row r="44" spans="1:14" ht="15.75">
      <c r="A44" s="53" t="s">
        <v>8</v>
      </c>
      <c r="B44" s="99">
        <f>+B46-B43</f>
        <v>324687</v>
      </c>
      <c r="C44" s="99">
        <f>+M44*0.18</f>
        <v>897046.02</v>
      </c>
      <c r="D44" s="99">
        <f>+M44*0.23</f>
        <v>1146225.47</v>
      </c>
      <c r="E44" s="99">
        <f>+M44*0.32</f>
        <v>1594748.48</v>
      </c>
      <c r="F44" s="99">
        <f>+M44*0.39</f>
        <v>1943599.71</v>
      </c>
      <c r="G44" s="99">
        <f>+M44*0.45</f>
        <v>2242615.0500000003</v>
      </c>
      <c r="H44" s="99">
        <f>+M44*0.54</f>
        <v>2691138.06</v>
      </c>
      <c r="I44" s="99">
        <f>+M44*0.63</f>
        <v>3139661.07</v>
      </c>
      <c r="J44" s="99">
        <f>+M44*0.69</f>
        <v>3438676.4099999997</v>
      </c>
      <c r="K44" s="99">
        <f>+M44*0.79</f>
        <v>3937035.31</v>
      </c>
      <c r="L44" s="99">
        <f>+M44*0.91</f>
        <v>4535065.99</v>
      </c>
      <c r="M44" s="55">
        <f>M46-M43</f>
        <v>4983589</v>
      </c>
    </row>
    <row r="45" spans="1:14" ht="15.75">
      <c r="A45" s="53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55"/>
    </row>
    <row r="46" spans="1:14" ht="15.75">
      <c r="A46" s="53" t="s">
        <v>5</v>
      </c>
      <c r="B46" s="100">
        <v>544873</v>
      </c>
      <c r="C46" s="100">
        <f t="shared" ref="C46:L46" si="3">+C43+C44</f>
        <v>1357840.02</v>
      </c>
      <c r="D46" s="100">
        <f t="shared" si="3"/>
        <v>1851711.47</v>
      </c>
      <c r="E46" s="100">
        <f t="shared" si="3"/>
        <v>2667273.48</v>
      </c>
      <c r="F46" s="100">
        <f t="shared" si="3"/>
        <v>3260817.71</v>
      </c>
      <c r="G46" s="100">
        <f t="shared" si="3"/>
        <v>3804526.0500000003</v>
      </c>
      <c r="H46" s="100">
        <f t="shared" si="3"/>
        <v>4497742.0600000005</v>
      </c>
      <c r="I46" s="100">
        <f t="shared" si="3"/>
        <v>5190957.07</v>
      </c>
      <c r="J46" s="100">
        <f t="shared" si="3"/>
        <v>5734665.4100000001</v>
      </c>
      <c r="K46" s="100">
        <f t="shared" si="3"/>
        <v>6600063.3100000005</v>
      </c>
      <c r="L46" s="100">
        <f t="shared" si="3"/>
        <v>7442786.9900000002</v>
      </c>
      <c r="M46" s="2">
        <v>8203230</v>
      </c>
      <c r="N46" s="44"/>
    </row>
    <row r="47" spans="1:14" ht="15.75">
      <c r="A47" s="57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55"/>
    </row>
    <row r="48" spans="1:14" ht="15.75">
      <c r="A48" s="53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"/>
    </row>
    <row r="49" spans="1:14" ht="15.75">
      <c r="A49" s="52" t="s">
        <v>32</v>
      </c>
      <c r="B49" s="100"/>
      <c r="C49" s="100"/>
      <c r="D49" s="100"/>
      <c r="E49" s="100"/>
      <c r="F49" s="103"/>
      <c r="G49" s="103"/>
      <c r="H49" s="103"/>
      <c r="I49" s="103"/>
      <c r="J49" s="103"/>
      <c r="K49" s="103"/>
      <c r="L49" s="103"/>
      <c r="M49" s="104"/>
    </row>
    <row r="50" spans="1:14" ht="15.75">
      <c r="A50" s="84" t="s">
        <v>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2"/>
    </row>
    <row r="51" spans="1:14" ht="15.75">
      <c r="A51" s="84" t="s">
        <v>7</v>
      </c>
      <c r="B51" s="99">
        <f>96238+123948</f>
        <v>220186</v>
      </c>
      <c r="C51" s="99">
        <v>455556</v>
      </c>
      <c r="D51" s="99">
        <f>121487+119296+C51</f>
        <v>696339</v>
      </c>
      <c r="E51" s="99">
        <f>122702+123952+122669+D51</f>
        <v>1065662</v>
      </c>
      <c r="F51" s="99">
        <f>125508+525+125176+E51</f>
        <v>1316871</v>
      </c>
      <c r="G51" s="99">
        <v>1567559</v>
      </c>
      <c r="H51" s="99">
        <f>125888.26+264.96+123027.26+G51</f>
        <v>1816739.48</v>
      </c>
      <c r="I51" s="99">
        <f>125174+125237+H51</f>
        <v>2067150.48</v>
      </c>
      <c r="J51" s="99">
        <f>126023+636+123960+1060+I51</f>
        <v>2318829.48</v>
      </c>
      <c r="K51" s="99">
        <v>2694664</v>
      </c>
      <c r="L51" s="99">
        <v>2945629</v>
      </c>
      <c r="M51" s="55">
        <v>3259287</v>
      </c>
    </row>
    <row r="52" spans="1:14" ht="15.75">
      <c r="A52" s="84" t="s">
        <v>8</v>
      </c>
      <c r="B52" s="99">
        <f t="shared" ref="B52:G52" si="4">+B54-B51</f>
        <v>324687</v>
      </c>
      <c r="C52" s="99">
        <f t="shared" si="4"/>
        <v>599976</v>
      </c>
      <c r="D52" s="99">
        <f t="shared" si="4"/>
        <v>969997</v>
      </c>
      <c r="E52" s="99">
        <f t="shared" si="4"/>
        <v>1277170</v>
      </c>
      <c r="F52" s="99">
        <f t="shared" si="4"/>
        <v>1586297</v>
      </c>
      <c r="G52" s="99">
        <f t="shared" si="4"/>
        <v>1865270</v>
      </c>
      <c r="H52" s="99">
        <f>+H54-H51</f>
        <v>2133141.52</v>
      </c>
      <c r="I52" s="99">
        <f>+I54-I51</f>
        <v>2436337.52</v>
      </c>
      <c r="J52" s="99">
        <f>+J54-J51</f>
        <v>2788648.52</v>
      </c>
      <c r="K52" s="99">
        <f>+K54-K51</f>
        <v>3241170</v>
      </c>
      <c r="L52" s="99">
        <f>+M52*86%</f>
        <v>4020902.48</v>
      </c>
      <c r="M52" s="55">
        <f>+M54-M51</f>
        <v>4675468</v>
      </c>
    </row>
    <row r="53" spans="1:14" ht="15.75">
      <c r="A53" s="8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  <c r="M53" s="2"/>
    </row>
    <row r="54" spans="1:14" ht="15.75">
      <c r="A54" s="84" t="s">
        <v>5</v>
      </c>
      <c r="B54" s="1">
        <v>544873</v>
      </c>
      <c r="C54" s="1">
        <v>1055532</v>
      </c>
      <c r="D54" s="1">
        <v>1666336</v>
      </c>
      <c r="E54" s="1">
        <v>2342832</v>
      </c>
      <c r="F54" s="1">
        <v>2903168</v>
      </c>
      <c r="G54" s="1">
        <v>3432829</v>
      </c>
      <c r="H54" s="1">
        <v>3949881</v>
      </c>
      <c r="I54" s="1">
        <v>4503488</v>
      </c>
      <c r="J54" s="1">
        <v>5107478</v>
      </c>
      <c r="K54" s="1">
        <v>5935834</v>
      </c>
      <c r="L54" s="100">
        <f>SUM(L51:L53)</f>
        <v>6966531.4800000004</v>
      </c>
      <c r="M54" s="2">
        <v>7934755</v>
      </c>
    </row>
    <row r="55" spans="1:14" ht="15.75">
      <c r="A55" s="5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2"/>
    </row>
    <row r="56" spans="1:14" ht="15.75">
      <c r="A56" s="53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2"/>
    </row>
    <row r="57" spans="1:14" ht="15.75">
      <c r="A57" s="52" t="s">
        <v>30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2"/>
    </row>
    <row r="58" spans="1:14" ht="15.75">
      <c r="A58" s="53" t="s">
        <v>6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2"/>
    </row>
    <row r="59" spans="1:14" ht="15.75">
      <c r="A59" s="53" t="s">
        <v>7</v>
      </c>
      <c r="B59" s="99">
        <f>96238+123948</f>
        <v>220186</v>
      </c>
      <c r="C59" s="99">
        <v>455556</v>
      </c>
      <c r="D59" s="99">
        <f>121487+119296+C59</f>
        <v>696339</v>
      </c>
      <c r="E59" s="99">
        <f>122702+123952+122669+D59</f>
        <v>1065662</v>
      </c>
      <c r="F59" s="99">
        <f>125508+525+125176+E59</f>
        <v>1316871</v>
      </c>
      <c r="G59" s="99">
        <v>1567559</v>
      </c>
      <c r="H59" s="99">
        <f>125888.26+264.96+123027.26+G59</f>
        <v>1816739.48</v>
      </c>
      <c r="I59" s="99">
        <f>125174+125237+H59</f>
        <v>2067150.48</v>
      </c>
      <c r="J59" s="99">
        <f>126023+636+123960+1060+I59</f>
        <v>2318829.48</v>
      </c>
      <c r="K59" s="99">
        <v>2694664</v>
      </c>
      <c r="L59" s="99">
        <v>2951894</v>
      </c>
      <c r="M59" s="59">
        <f>126292+138967+L59</f>
        <v>3217153</v>
      </c>
    </row>
    <row r="60" spans="1:14" ht="15.75">
      <c r="A60" s="53" t="s">
        <v>8</v>
      </c>
      <c r="B60" s="99">
        <f t="shared" ref="B60:L60" si="5">+B62-B59</f>
        <v>324687</v>
      </c>
      <c r="C60" s="99">
        <f t="shared" si="5"/>
        <v>599976</v>
      </c>
      <c r="D60" s="99">
        <f t="shared" si="5"/>
        <v>969997</v>
      </c>
      <c r="E60" s="99">
        <f t="shared" si="5"/>
        <v>1277170</v>
      </c>
      <c r="F60" s="99">
        <f t="shared" si="5"/>
        <v>1586297</v>
      </c>
      <c r="G60" s="99">
        <f t="shared" si="5"/>
        <v>1865270</v>
      </c>
      <c r="H60" s="99">
        <f t="shared" si="5"/>
        <v>2133141.52</v>
      </c>
      <c r="I60" s="99">
        <f t="shared" si="5"/>
        <v>2436337.52</v>
      </c>
      <c r="J60" s="99">
        <f t="shared" si="5"/>
        <v>2788648.52</v>
      </c>
      <c r="K60" s="99">
        <f t="shared" si="5"/>
        <v>3241170</v>
      </c>
      <c r="L60" s="99">
        <f t="shared" si="5"/>
        <v>3660826</v>
      </c>
      <c r="M60" s="55">
        <f>+M62-M59</f>
        <v>4168654</v>
      </c>
    </row>
    <row r="61" spans="1:14" ht="15.75">
      <c r="A61" s="53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59"/>
      <c r="N61" s="45"/>
    </row>
    <row r="62" spans="1:14" ht="16.5" thickBot="1">
      <c r="A62" s="61" t="s">
        <v>5</v>
      </c>
      <c r="B62" s="3">
        <v>544873</v>
      </c>
      <c r="C62" s="3">
        <v>1055532</v>
      </c>
      <c r="D62" s="3">
        <v>1666336</v>
      </c>
      <c r="E62" s="3">
        <v>2342832</v>
      </c>
      <c r="F62" s="3">
        <v>2903168</v>
      </c>
      <c r="G62" s="3">
        <v>3432829</v>
      </c>
      <c r="H62" s="3">
        <v>3949881</v>
      </c>
      <c r="I62" s="3">
        <v>4503488</v>
      </c>
      <c r="J62" s="3">
        <v>5107478</v>
      </c>
      <c r="K62" s="3">
        <v>5935834</v>
      </c>
      <c r="L62" s="3">
        <v>6612720</v>
      </c>
      <c r="M62" s="4">
        <v>7385807</v>
      </c>
    </row>
    <row r="63" spans="1:14">
      <c r="B63" s="54"/>
      <c r="C63" s="54"/>
    </row>
    <row r="64" spans="1:14" ht="15.75">
      <c r="A64" s="45"/>
      <c r="B64" s="6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15.7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ht="15.75">
      <c r="A66" s="45"/>
      <c r="B66" s="45"/>
      <c r="C66" s="44"/>
      <c r="D66" s="44"/>
      <c r="E66" s="45"/>
      <c r="F66" s="45"/>
      <c r="G66" s="45"/>
      <c r="H66" s="45"/>
      <c r="I66" s="45"/>
      <c r="J66" s="45"/>
      <c r="K66" s="45"/>
      <c r="L66" s="45"/>
      <c r="M66" s="45"/>
    </row>
    <row r="67" spans="1:13" ht="15.75">
      <c r="A67" s="45"/>
      <c r="B67" s="45"/>
      <c r="C67" s="44"/>
      <c r="D67" s="44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>
      <c r="A68" s="45"/>
      <c r="B68" s="45"/>
      <c r="C68" s="44"/>
      <c r="D68" s="44"/>
      <c r="E68" s="45"/>
      <c r="F68" s="45"/>
      <c r="G68" s="45"/>
      <c r="H68" s="45"/>
      <c r="I68" s="45"/>
      <c r="J68" s="45"/>
      <c r="K68" s="45"/>
      <c r="L68" s="45"/>
      <c r="M68" s="45"/>
    </row>
    <row r="69" spans="1:13" ht="15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ht="15.7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8" spans="1:13" ht="15.75">
      <c r="A78" s="44"/>
      <c r="B78" s="65"/>
      <c r="C78" s="65"/>
      <c r="D78" s="65"/>
      <c r="E78" s="65"/>
      <c r="F78" s="65"/>
      <c r="G78" s="65"/>
      <c r="H78" s="65"/>
    </row>
    <row r="79" spans="1:13" ht="15.75">
      <c r="A79" s="44"/>
      <c r="B79" s="65"/>
      <c r="C79" s="65"/>
      <c r="D79" s="65"/>
      <c r="E79" s="65"/>
      <c r="F79" s="65"/>
      <c r="G79" s="65"/>
      <c r="H79" s="65"/>
    </row>
    <row r="80" spans="1:13" ht="15.75">
      <c r="A80" s="44"/>
      <c r="B80" s="65"/>
      <c r="C80" s="65"/>
      <c r="D80" s="65"/>
      <c r="E80" s="65"/>
      <c r="F80" s="65"/>
      <c r="G80" s="65"/>
      <c r="H80" s="65"/>
    </row>
    <row r="81" spans="1:8" ht="15.75">
      <c r="A81" s="44"/>
      <c r="B81" s="65"/>
      <c r="C81" s="65"/>
      <c r="D81" s="65"/>
      <c r="E81" s="65"/>
      <c r="F81" s="65"/>
      <c r="G81" s="65"/>
      <c r="H81" s="65"/>
    </row>
    <row r="82" spans="1:8" ht="15.75">
      <c r="A82" s="44"/>
      <c r="B82" s="65"/>
      <c r="C82" s="65"/>
      <c r="D82" s="65"/>
      <c r="E82" s="65"/>
      <c r="F82" s="65"/>
      <c r="G82" s="65"/>
      <c r="H82" s="65"/>
    </row>
    <row r="83" spans="1:8" ht="15.75">
      <c r="A83" s="44"/>
      <c r="B83" s="65"/>
      <c r="C83" s="65"/>
      <c r="D83" s="65"/>
      <c r="E83" s="65"/>
      <c r="F83" s="65"/>
      <c r="G83" s="65"/>
      <c r="H83" s="65"/>
    </row>
    <row r="84" spans="1:8" ht="15.75">
      <c r="A84" s="44"/>
      <c r="B84" s="65"/>
      <c r="C84" s="65"/>
      <c r="D84" s="65"/>
      <c r="E84" s="65"/>
      <c r="F84" s="65"/>
      <c r="G84" s="65"/>
      <c r="H84" s="65"/>
    </row>
    <row r="85" spans="1:8" ht="15.75">
      <c r="A85" s="44"/>
      <c r="B85" s="65"/>
      <c r="C85" s="65"/>
      <c r="D85" s="65"/>
      <c r="E85" s="65"/>
      <c r="F85" s="65"/>
      <c r="G85" s="65"/>
      <c r="H85" s="65"/>
    </row>
    <row r="86" spans="1:8" ht="15.75">
      <c r="A86" s="44"/>
      <c r="B86" s="65"/>
      <c r="C86" s="65"/>
      <c r="D86" s="65"/>
      <c r="E86" s="65"/>
      <c r="F86" s="65"/>
      <c r="G86" s="65"/>
      <c r="H86" s="65"/>
    </row>
    <row r="87" spans="1:8" ht="15.75">
      <c r="A87" s="44"/>
      <c r="B87" s="65"/>
      <c r="C87" s="65"/>
      <c r="D87" s="65"/>
      <c r="E87" s="65"/>
      <c r="F87" s="65"/>
      <c r="G87" s="65"/>
      <c r="H87" s="65"/>
    </row>
    <row r="88" spans="1:8" ht="0.95" customHeight="1">
      <c r="A88" s="44"/>
      <c r="B88" s="65"/>
      <c r="C88" s="65"/>
      <c r="D88" s="65"/>
      <c r="E88" s="65"/>
      <c r="F88" s="65"/>
      <c r="G88" s="65"/>
      <c r="H88" s="65"/>
    </row>
    <row r="89" spans="1:8" ht="15.75">
      <c r="A89" s="44"/>
      <c r="B89" s="65"/>
      <c r="C89" s="65"/>
      <c r="D89" s="65"/>
      <c r="E89" s="65"/>
      <c r="F89" s="65"/>
      <c r="G89" s="65"/>
      <c r="H89" s="65"/>
    </row>
    <row r="90" spans="1:8" ht="15.75">
      <c r="A90" s="44"/>
      <c r="B90" s="65"/>
      <c r="C90" s="65"/>
      <c r="D90" s="65"/>
      <c r="E90" s="65"/>
      <c r="F90" s="65"/>
      <c r="G90" s="65"/>
      <c r="H90" s="65"/>
    </row>
    <row r="114" spans="1:8" ht="15.75">
      <c r="A114" s="44"/>
      <c r="B114" s="44"/>
      <c r="C114" s="45"/>
      <c r="D114" s="45"/>
      <c r="E114" s="45"/>
    </row>
    <row r="116" spans="1:8" ht="15.75">
      <c r="A116" s="44"/>
      <c r="B116" s="44"/>
      <c r="C116" s="44"/>
      <c r="D116" s="44"/>
      <c r="E116" s="44"/>
      <c r="F116" s="44"/>
      <c r="G116" s="45"/>
      <c r="H116" s="45"/>
    </row>
    <row r="118" spans="1:8" ht="15.75">
      <c r="A118" s="44"/>
      <c r="B118" s="44"/>
      <c r="C118" s="44"/>
      <c r="D118" s="45"/>
    </row>
    <row r="119" spans="1:8" ht="15.75">
      <c r="A119" s="44"/>
      <c r="B119" s="44"/>
      <c r="C119" s="44"/>
      <c r="D119" s="45"/>
    </row>
    <row r="120" spans="1:8" ht="15.75">
      <c r="A120" s="44"/>
      <c r="B120" s="44"/>
      <c r="C120" s="44"/>
      <c r="D120" s="45"/>
    </row>
    <row r="123" spans="1:8" ht="15.75">
      <c r="A123" s="44"/>
      <c r="C123" s="45" t="s">
        <v>9</v>
      </c>
      <c r="D123" s="45"/>
      <c r="E123" s="45"/>
      <c r="F123" s="66">
        <v>4627259</v>
      </c>
    </row>
  </sheetData>
  <phoneticPr fontId="13" type="noConversion"/>
  <printOptions horizontalCentered="1" verticalCentered="1"/>
  <pageMargins left="0.25" right="0.25" top="0.5" bottom="0.5" header="0.5" footer="0.5"/>
  <pageSetup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1"/>
  <sheetViews>
    <sheetView defaultGridColor="0" topLeftCell="A21" colorId="22" zoomScale="87" workbookViewId="0">
      <selection activeCell="B134" sqref="B134"/>
    </sheetView>
  </sheetViews>
  <sheetFormatPr defaultColWidth="12.5703125" defaultRowHeight="15"/>
  <cols>
    <col min="1" max="1" width="26.5703125" style="7" customWidth="1"/>
    <col min="2" max="2" width="17" style="7" bestFit="1" customWidth="1"/>
    <col min="3" max="3" width="14.5703125" style="7" bestFit="1" customWidth="1"/>
    <col min="4" max="5" width="15.85546875" style="7" customWidth="1"/>
    <col min="6" max="6" width="15.5703125" style="7" customWidth="1"/>
    <col min="7" max="13" width="15.85546875" style="7" customWidth="1"/>
    <col min="14" max="16384" width="12.5703125" style="7"/>
  </cols>
  <sheetData>
    <row r="1" spans="1:36" ht="20.25">
      <c r="A1" s="37" t="s">
        <v>31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spans="1:36" ht="18.75">
      <c r="A2" s="8" t="s">
        <v>26</v>
      </c>
      <c r="B2" s="9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5" spans="1:36" ht="18.75" thickBot="1">
      <c r="A5" s="10" t="s">
        <v>22</v>
      </c>
      <c r="B5" s="11"/>
      <c r="C5" s="11"/>
      <c r="D5" s="12"/>
      <c r="E5" s="12"/>
      <c r="F5" s="12"/>
      <c r="G5" s="12"/>
      <c r="H5" s="12"/>
      <c r="I5" s="13"/>
      <c r="J5" s="13"/>
      <c r="K5" s="13"/>
      <c r="L5" s="13"/>
      <c r="M5" s="13"/>
    </row>
    <row r="6" spans="1:36" ht="15.75">
      <c r="A6" s="14"/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6" t="s">
        <v>21</v>
      </c>
      <c r="N6" s="17"/>
      <c r="O6" s="17"/>
    </row>
    <row r="7" spans="1:36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36" ht="15.75">
      <c r="A8" s="83" t="s">
        <v>29</v>
      </c>
      <c r="B8" s="19"/>
      <c r="C8" s="19"/>
      <c r="D8" s="19"/>
      <c r="E8" s="105"/>
      <c r="F8" s="105"/>
      <c r="G8" s="105"/>
      <c r="H8" s="105"/>
      <c r="I8" s="105"/>
      <c r="J8" s="105"/>
      <c r="K8" s="105"/>
      <c r="L8" s="105"/>
      <c r="M8" s="20"/>
    </row>
    <row r="9" spans="1:36" ht="15.75">
      <c r="A9" s="21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36" ht="15.75">
      <c r="A10" s="21" t="s">
        <v>2</v>
      </c>
      <c r="B10" s="24">
        <v>899099</v>
      </c>
      <c r="C10" s="24">
        <f>+M10*0.22</f>
        <v>6824658.9400000004</v>
      </c>
      <c r="D10" s="24">
        <f>+M10*0.76</f>
        <v>23576094.52</v>
      </c>
      <c r="E10" s="24">
        <f>+M10*0.85</f>
        <v>26368000.449999999</v>
      </c>
      <c r="F10" s="24">
        <f>+M10*0.854</f>
        <v>26492085.158</v>
      </c>
      <c r="G10" s="24">
        <f>+M10*0.87</f>
        <v>26988423.989999998</v>
      </c>
      <c r="H10" s="24">
        <f>+M10*0.91</f>
        <v>28229271.07</v>
      </c>
      <c r="I10" s="24">
        <f>+M10*0.93</f>
        <v>28849694.610000003</v>
      </c>
      <c r="J10" s="24">
        <f>+M10*0.95</f>
        <v>29470118.149999999</v>
      </c>
      <c r="K10" s="24">
        <f>+M10*0.98</f>
        <v>30400753.460000001</v>
      </c>
      <c r="L10" s="24">
        <f>+M10*99.9%</f>
        <v>30990155.823000003</v>
      </c>
      <c r="M10" s="25">
        <v>31021177</v>
      </c>
    </row>
    <row r="11" spans="1:36" ht="15.75">
      <c r="A11" s="21" t="s">
        <v>27</v>
      </c>
      <c r="B11" s="26">
        <v>0</v>
      </c>
      <c r="C11" s="24">
        <v>0</v>
      </c>
      <c r="D11" s="24">
        <f>+M11*0.01</f>
        <v>51027.92</v>
      </c>
      <c r="E11" s="24">
        <f>+M11*0.11</f>
        <v>561307.12</v>
      </c>
      <c r="F11" s="24">
        <f>+M11*0.21</f>
        <v>1071586.32</v>
      </c>
      <c r="G11" s="24">
        <f>+M11*0.33</f>
        <v>1683921.36</v>
      </c>
      <c r="H11" s="24">
        <f>+M11*0.44</f>
        <v>2245228.48</v>
      </c>
      <c r="I11" s="24">
        <f>+M11*0.54</f>
        <v>2755507.68</v>
      </c>
      <c r="J11" s="24">
        <f>+M11*0.67</f>
        <v>3418870.64</v>
      </c>
      <c r="K11" s="24">
        <f>+M11*0.79</f>
        <v>4031205.68</v>
      </c>
      <c r="L11" s="24">
        <f>+M11*0.89</f>
        <v>4541484.88</v>
      </c>
      <c r="M11" s="25">
        <v>5102792</v>
      </c>
    </row>
    <row r="12" spans="1:36" ht="15.75">
      <c r="A12" s="21" t="s">
        <v>4</v>
      </c>
      <c r="B12" s="26">
        <v>0</v>
      </c>
      <c r="C12" s="24">
        <v>0</v>
      </c>
      <c r="D12" s="24">
        <v>0</v>
      </c>
      <c r="E12" s="24">
        <v>0</v>
      </c>
      <c r="F12" s="24">
        <f>+E12+4141557</f>
        <v>4141557</v>
      </c>
      <c r="G12" s="24">
        <f>+F12+46247</f>
        <v>4187804</v>
      </c>
      <c r="H12" s="24">
        <f>+G12+18499</f>
        <v>4206303</v>
      </c>
      <c r="I12" s="24">
        <f>+H12+147991</f>
        <v>4354294</v>
      </c>
      <c r="J12" s="24">
        <f>+I12+175647</f>
        <v>4529941</v>
      </c>
      <c r="K12" s="24">
        <f>+J12+184989</f>
        <v>4714930</v>
      </c>
      <c r="L12" s="24">
        <f>+K12+92494+3106168</f>
        <v>7913592</v>
      </c>
      <c r="M12" s="25">
        <v>9249420</v>
      </c>
    </row>
    <row r="13" spans="1:36" ht="15.75">
      <c r="A13" s="21" t="s">
        <v>25</v>
      </c>
      <c r="B13" s="26">
        <v>0</v>
      </c>
      <c r="C13" s="26">
        <v>0</v>
      </c>
      <c r="D13" s="26">
        <v>0</v>
      </c>
      <c r="E13" s="26">
        <f>145000/9</f>
        <v>16111.111111111111</v>
      </c>
      <c r="F13" s="26">
        <f>+E13*2</f>
        <v>32222.222222222223</v>
      </c>
      <c r="G13" s="26">
        <f>+E13*3</f>
        <v>48333.333333333336</v>
      </c>
      <c r="H13" s="26">
        <f>+E13*4</f>
        <v>64444.444444444445</v>
      </c>
      <c r="I13" s="26">
        <f>+E13*5</f>
        <v>80555.555555555562</v>
      </c>
      <c r="J13" s="26">
        <f>+E13*6</f>
        <v>96666.666666666672</v>
      </c>
      <c r="K13" s="26">
        <f>+E13*7</f>
        <v>112777.77777777778</v>
      </c>
      <c r="L13" s="26">
        <f>+E13*8</f>
        <v>128888.88888888889</v>
      </c>
      <c r="M13" s="25">
        <v>151500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</row>
    <row r="15" spans="1:36" ht="15.75">
      <c r="A15" s="21" t="s">
        <v>5</v>
      </c>
      <c r="B15" s="1">
        <f t="shared" ref="B15:M15" si="0">SUM(B10:B14)</f>
        <v>899099</v>
      </c>
      <c r="C15" s="1">
        <f t="shared" si="0"/>
        <v>6824658.9400000004</v>
      </c>
      <c r="D15" s="1">
        <f t="shared" si="0"/>
        <v>23627122.440000001</v>
      </c>
      <c r="E15" s="1">
        <f t="shared" si="0"/>
        <v>26945418.681111112</v>
      </c>
      <c r="F15" s="1">
        <f t="shared" si="0"/>
        <v>31737450.700222224</v>
      </c>
      <c r="G15" s="1">
        <f t="shared" si="0"/>
        <v>32908482.68333333</v>
      </c>
      <c r="H15" s="1">
        <f t="shared" si="0"/>
        <v>34745246.994444445</v>
      </c>
      <c r="I15" s="1">
        <f t="shared" si="0"/>
        <v>36040051.845555559</v>
      </c>
      <c r="J15" s="1">
        <f t="shared" si="0"/>
        <v>37515596.456666663</v>
      </c>
      <c r="K15" s="1">
        <f t="shared" si="0"/>
        <v>39259666.917777777</v>
      </c>
      <c r="L15" s="1">
        <f t="shared" si="0"/>
        <v>43574121.59188889</v>
      </c>
      <c r="M15" s="2">
        <f t="shared" si="0"/>
        <v>45524889</v>
      </c>
    </row>
    <row r="16" spans="1:36" ht="15.75">
      <c r="A16" s="2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2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32</v>
      </c>
      <c r="B18" s="1"/>
      <c r="C18" s="1"/>
      <c r="D18" s="1"/>
      <c r="E18" s="101"/>
      <c r="F18" s="101"/>
      <c r="G18" s="101"/>
      <c r="H18" s="101"/>
      <c r="I18" s="101"/>
      <c r="J18" s="101"/>
      <c r="K18" s="102"/>
      <c r="L18" s="102"/>
      <c r="M18" s="104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24">
        <v>899099</v>
      </c>
      <c r="C20" s="24">
        <v>6128726</v>
      </c>
      <c r="D20" s="24">
        <v>24243318</v>
      </c>
      <c r="E20" s="29">
        <v>25497638</v>
      </c>
      <c r="F20" s="24">
        <v>26284507</v>
      </c>
      <c r="G20" s="24">
        <v>26790317</v>
      </c>
      <c r="H20" s="24">
        <v>27864294</v>
      </c>
      <c r="I20" s="29">
        <v>28797439</v>
      </c>
      <c r="J20" s="29">
        <v>29235518</v>
      </c>
      <c r="K20" s="29">
        <v>30032600</v>
      </c>
      <c r="L20" s="24">
        <f>+K20+450000</f>
        <v>30482600</v>
      </c>
      <c r="M20" s="25">
        <v>31160356</v>
      </c>
    </row>
    <row r="21" spans="1:16" ht="15.75">
      <c r="A21" s="84" t="s">
        <v>3</v>
      </c>
      <c r="B21" s="26">
        <v>0</v>
      </c>
      <c r="C21" s="26">
        <v>0</v>
      </c>
      <c r="D21" s="26">
        <v>25000</v>
      </c>
      <c r="E21" s="31">
        <v>337359</v>
      </c>
      <c r="F21" s="26">
        <v>649718</v>
      </c>
      <c r="G21" s="26">
        <v>1004072</v>
      </c>
      <c r="H21" s="26">
        <v>1324211</v>
      </c>
      <c r="I21" s="31">
        <v>1631762</v>
      </c>
      <c r="J21" s="31">
        <v>3974447</v>
      </c>
      <c r="K21" s="31">
        <v>3352461</v>
      </c>
      <c r="L21" s="24">
        <f>+K21+402737</f>
        <v>3755198</v>
      </c>
      <c r="M21" s="25">
        <v>4963408</v>
      </c>
    </row>
    <row r="22" spans="1:16" ht="15.75">
      <c r="A22" s="84" t="s">
        <v>4</v>
      </c>
      <c r="B22" s="26">
        <v>0</v>
      </c>
      <c r="C22" s="26">
        <v>0</v>
      </c>
      <c r="D22" s="26">
        <v>13706</v>
      </c>
      <c r="E22" s="31">
        <v>52297</v>
      </c>
      <c r="F22" s="26">
        <v>3250234</v>
      </c>
      <c r="G22" s="26">
        <v>3250234</v>
      </c>
      <c r="H22" s="26">
        <v>3420207</v>
      </c>
      <c r="I22" s="31">
        <v>3423567</v>
      </c>
      <c r="J22" s="31">
        <v>3543204</v>
      </c>
      <c r="K22" s="31">
        <v>4817130</v>
      </c>
      <c r="L22" s="24">
        <f>+K22+82425</f>
        <v>4899555</v>
      </c>
      <c r="M22" s="25">
        <v>9548586</v>
      </c>
    </row>
    <row r="23" spans="1:16" ht="15.75">
      <c r="A23" s="84" t="s">
        <v>25</v>
      </c>
      <c r="B23" s="26">
        <v>0</v>
      </c>
      <c r="C23" s="31">
        <v>0</v>
      </c>
      <c r="D23" s="31">
        <v>5000</v>
      </c>
      <c r="E23" s="31">
        <v>793731</v>
      </c>
      <c r="F23" s="26">
        <v>819027</v>
      </c>
      <c r="G23" s="26">
        <v>819027</v>
      </c>
      <c r="H23" s="26">
        <v>3920354</v>
      </c>
      <c r="I23" s="31">
        <v>3896710</v>
      </c>
      <c r="J23" s="31">
        <v>3901296</v>
      </c>
      <c r="K23" s="31">
        <v>6394386</v>
      </c>
      <c r="L23" s="26">
        <f>+K23+5000</f>
        <v>6399386</v>
      </c>
      <c r="M23" s="25">
        <f>10666402+5000</f>
        <v>10671402</v>
      </c>
    </row>
    <row r="24" spans="1:16">
      <c r="A24" s="8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</row>
    <row r="25" spans="1:16" ht="15.75">
      <c r="A25" s="84" t="s">
        <v>5</v>
      </c>
      <c r="B25" s="1">
        <f t="shared" ref="B25:G25" si="1">SUM(B20:B24)</f>
        <v>899099</v>
      </c>
      <c r="C25" s="1">
        <f t="shared" si="1"/>
        <v>6128726</v>
      </c>
      <c r="D25" s="1">
        <f t="shared" si="1"/>
        <v>24287024</v>
      </c>
      <c r="E25" s="1">
        <f t="shared" si="1"/>
        <v>26681025</v>
      </c>
      <c r="F25" s="1">
        <f t="shared" si="1"/>
        <v>31003486</v>
      </c>
      <c r="G25" s="1">
        <f t="shared" si="1"/>
        <v>31863650</v>
      </c>
      <c r="H25" s="1">
        <f t="shared" ref="H25:M25" si="2">SUM(H20:H24)</f>
        <v>36529066</v>
      </c>
      <c r="I25" s="1">
        <f t="shared" si="2"/>
        <v>37749478</v>
      </c>
      <c r="J25" s="1">
        <f t="shared" si="2"/>
        <v>40654465</v>
      </c>
      <c r="K25" s="1">
        <f t="shared" si="2"/>
        <v>44596577</v>
      </c>
      <c r="L25" s="1">
        <f t="shared" si="2"/>
        <v>45536739</v>
      </c>
      <c r="M25" s="2">
        <f t="shared" si="2"/>
        <v>56343752</v>
      </c>
    </row>
    <row r="26" spans="1:16" ht="15.75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2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30</v>
      </c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6" ht="15.75">
      <c r="A29" s="21" t="s">
        <v>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/>
    </row>
    <row r="30" spans="1:16" ht="15.75">
      <c r="A30" s="21" t="s">
        <v>2</v>
      </c>
      <c r="B30" s="24">
        <v>899099</v>
      </c>
      <c r="C30" s="24">
        <v>6128726</v>
      </c>
      <c r="D30" s="24">
        <v>24243318</v>
      </c>
      <c r="E30" s="29">
        <v>25497638</v>
      </c>
      <c r="F30" s="24">
        <v>26284507</v>
      </c>
      <c r="G30" s="24">
        <v>26790317</v>
      </c>
      <c r="H30" s="24">
        <v>27864294</v>
      </c>
      <c r="I30" s="29">
        <v>28797439</v>
      </c>
      <c r="J30" s="29">
        <v>29235518</v>
      </c>
      <c r="K30" s="29">
        <v>30032600</v>
      </c>
      <c r="L30" s="29">
        <v>30355291</v>
      </c>
      <c r="M30" s="30">
        <v>30827496</v>
      </c>
      <c r="N30" s="13"/>
      <c r="O30" s="13"/>
      <c r="P30" s="13"/>
    </row>
    <row r="31" spans="1:16" ht="15.75">
      <c r="A31" s="21" t="s">
        <v>3</v>
      </c>
      <c r="B31" s="26">
        <v>0</v>
      </c>
      <c r="C31" s="26">
        <v>0</v>
      </c>
      <c r="D31" s="26">
        <v>25000</v>
      </c>
      <c r="E31" s="31">
        <v>337359</v>
      </c>
      <c r="F31" s="26">
        <v>649718</v>
      </c>
      <c r="G31" s="26">
        <v>1004072</v>
      </c>
      <c r="H31" s="26">
        <v>1324211</v>
      </c>
      <c r="I31" s="31">
        <v>1631762</v>
      </c>
      <c r="J31" s="31">
        <v>3974447</v>
      </c>
      <c r="K31" s="31">
        <v>3352461</v>
      </c>
      <c r="L31" s="31">
        <v>3771544</v>
      </c>
      <c r="M31" s="25">
        <v>4190626</v>
      </c>
    </row>
    <row r="32" spans="1:16" ht="15.75">
      <c r="A32" s="21" t="s">
        <v>4</v>
      </c>
      <c r="B32" s="26">
        <v>0</v>
      </c>
      <c r="C32" s="26">
        <v>0</v>
      </c>
      <c r="D32" s="26">
        <v>13706</v>
      </c>
      <c r="E32" s="31">
        <v>52297</v>
      </c>
      <c r="F32" s="26">
        <v>3250234</v>
      </c>
      <c r="G32" s="26">
        <v>3250234</v>
      </c>
      <c r="H32" s="26">
        <v>3420207</v>
      </c>
      <c r="I32" s="31">
        <v>3423567</v>
      </c>
      <c r="J32" s="31">
        <v>3543204</v>
      </c>
      <c r="K32" s="31">
        <v>4817130</v>
      </c>
      <c r="L32" s="31">
        <v>4817129</v>
      </c>
      <c r="M32" s="25">
        <v>5038887</v>
      </c>
    </row>
    <row r="33" spans="1:13" ht="15.75">
      <c r="A33" s="21" t="s">
        <v>25</v>
      </c>
      <c r="B33" s="26">
        <v>0</v>
      </c>
      <c r="C33" s="31">
        <v>0</v>
      </c>
      <c r="D33" s="31">
        <v>5000</v>
      </c>
      <c r="E33" s="31">
        <v>793731</v>
      </c>
      <c r="F33" s="26">
        <v>819027</v>
      </c>
      <c r="G33" s="26">
        <v>819027</v>
      </c>
      <c r="H33" s="26">
        <v>3920354</v>
      </c>
      <c r="I33" s="31">
        <v>3896710</v>
      </c>
      <c r="J33" s="31">
        <v>3901296</v>
      </c>
      <c r="K33" s="31">
        <v>6394386</v>
      </c>
      <c r="L33" s="31">
        <v>6399673</v>
      </c>
      <c r="M33" s="25">
        <v>9523676</v>
      </c>
    </row>
    <row r="34" spans="1:13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5"/>
    </row>
    <row r="35" spans="1:13" ht="16.5" thickBot="1">
      <c r="A35" s="32" t="s">
        <v>5</v>
      </c>
      <c r="B35" s="3">
        <f t="shared" ref="B35:L35" si="3">SUM(B30:B34)</f>
        <v>899099</v>
      </c>
      <c r="C35" s="3">
        <f t="shared" si="3"/>
        <v>6128726</v>
      </c>
      <c r="D35" s="3">
        <f t="shared" si="3"/>
        <v>24287024</v>
      </c>
      <c r="E35" s="3">
        <f t="shared" si="3"/>
        <v>26681025</v>
      </c>
      <c r="F35" s="3">
        <f t="shared" si="3"/>
        <v>31003486</v>
      </c>
      <c r="G35" s="3">
        <f t="shared" si="3"/>
        <v>31863650</v>
      </c>
      <c r="H35" s="3">
        <f t="shared" si="3"/>
        <v>36529066</v>
      </c>
      <c r="I35" s="3">
        <f t="shared" si="3"/>
        <v>37749478</v>
      </c>
      <c r="J35" s="3">
        <f t="shared" si="3"/>
        <v>40654465</v>
      </c>
      <c r="K35" s="3">
        <f t="shared" si="3"/>
        <v>44596577</v>
      </c>
      <c r="L35" s="3">
        <f t="shared" si="3"/>
        <v>45343637</v>
      </c>
      <c r="M35" s="4">
        <f>+M30+M31+M32+M33</f>
        <v>49580685</v>
      </c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28"/>
      <c r="B37" s="19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18.75" thickBot="1">
      <c r="A38" s="33" t="s">
        <v>23</v>
      </c>
      <c r="B38" s="28"/>
      <c r="C38" s="28"/>
      <c r="D38" s="28"/>
      <c r="E38" s="28"/>
      <c r="F38" s="28"/>
      <c r="G38" s="28"/>
      <c r="H38" s="28"/>
      <c r="I38" s="28"/>
      <c r="J38" s="19"/>
      <c r="K38" s="22"/>
      <c r="L38" s="22"/>
      <c r="M38" s="22"/>
    </row>
    <row r="39" spans="1:13" ht="15.75">
      <c r="A39" s="34"/>
      <c r="B39" s="15" t="s">
        <v>10</v>
      </c>
      <c r="C39" s="15" t="s">
        <v>11</v>
      </c>
      <c r="D39" s="15" t="s">
        <v>12</v>
      </c>
      <c r="E39" s="15" t="s">
        <v>13</v>
      </c>
      <c r="F39" s="15" t="s">
        <v>14</v>
      </c>
      <c r="G39" s="15" t="s">
        <v>15</v>
      </c>
      <c r="H39" s="15" t="s">
        <v>16</v>
      </c>
      <c r="I39" s="15" t="s">
        <v>17</v>
      </c>
      <c r="J39" s="15" t="s">
        <v>18</v>
      </c>
      <c r="K39" s="15" t="s">
        <v>19</v>
      </c>
      <c r="L39" s="15" t="s">
        <v>20</v>
      </c>
      <c r="M39" s="16" t="s">
        <v>21</v>
      </c>
    </row>
    <row r="40" spans="1:13">
      <c r="A40" s="2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5"/>
    </row>
    <row r="41" spans="1:13" ht="15.75">
      <c r="A41" s="83" t="s">
        <v>29</v>
      </c>
      <c r="B41" s="24"/>
      <c r="C41" s="24"/>
      <c r="D41" s="106"/>
      <c r="E41" s="106"/>
      <c r="F41" s="106"/>
      <c r="G41" s="106"/>
      <c r="H41" s="106"/>
      <c r="I41" s="106"/>
      <c r="J41" s="106"/>
      <c r="K41" s="106"/>
      <c r="L41" s="106"/>
      <c r="M41" s="25"/>
    </row>
    <row r="42" spans="1:13" ht="15.75">
      <c r="A42" s="21" t="s">
        <v>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5"/>
    </row>
    <row r="43" spans="1:13" ht="15.75">
      <c r="A43" s="21" t="s">
        <v>7</v>
      </c>
      <c r="B43" s="26">
        <v>190293</v>
      </c>
      <c r="C43" s="26">
        <v>617662</v>
      </c>
      <c r="D43" s="26">
        <v>1207675</v>
      </c>
      <c r="E43" s="26">
        <v>2092695</v>
      </c>
      <c r="F43" s="26">
        <v>2690272</v>
      </c>
      <c r="G43" s="26">
        <v>3280285</v>
      </c>
      <c r="H43" s="26">
        <v>3870298</v>
      </c>
      <c r="I43" s="26">
        <v>4460312</v>
      </c>
      <c r="J43" s="26">
        <v>5050325</v>
      </c>
      <c r="K43" s="26">
        <v>5935344</v>
      </c>
      <c r="L43" s="26">
        <v>6525358</v>
      </c>
      <c r="M43" s="25">
        <v>7564271</v>
      </c>
    </row>
    <row r="44" spans="1:13" ht="15.75">
      <c r="A44" s="21" t="s">
        <v>8</v>
      </c>
      <c r="B44" s="26">
        <f>+B60</f>
        <v>227485</v>
      </c>
      <c r="C44" s="26">
        <f>+M44*0.01</f>
        <v>396964.36</v>
      </c>
      <c r="D44" s="26">
        <f>+M44*0.02</f>
        <v>793928.72</v>
      </c>
      <c r="E44" s="26">
        <f>+M44*0.037+15000000</f>
        <v>16468768.131999999</v>
      </c>
      <c r="F44" s="26">
        <f>+E44+300965</f>
        <v>16769733.131999999</v>
      </c>
      <c r="G44" s="26">
        <f>+F44+2001786</f>
        <v>18771519.131999999</v>
      </c>
      <c r="H44" s="26">
        <f>+G44+1100893</f>
        <v>19872412.131999999</v>
      </c>
      <c r="I44" s="26">
        <f>+H44+2009468</f>
        <v>21881880.131999999</v>
      </c>
      <c r="J44" s="26">
        <f>+I44+703928</f>
        <v>22585808.131999999</v>
      </c>
      <c r="K44" s="26">
        <f>+J44+763929+11000000</f>
        <v>34349737.131999999</v>
      </c>
      <c r="L44" s="26">
        <f>+K44+1500857</f>
        <v>35850594.131999999</v>
      </c>
      <c r="M44" s="25">
        <f>M46-M43</f>
        <v>39696436</v>
      </c>
    </row>
    <row r="45" spans="1:13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5"/>
    </row>
    <row r="46" spans="1:13" ht="15.75">
      <c r="A46" s="21" t="s">
        <v>5</v>
      </c>
      <c r="B46" s="1">
        <v>417778</v>
      </c>
      <c r="C46" s="1">
        <f t="shared" ref="C46:L46" si="4">C43+C44</f>
        <v>1014626.36</v>
      </c>
      <c r="D46" s="1">
        <f t="shared" si="4"/>
        <v>2001603.72</v>
      </c>
      <c r="E46" s="1">
        <f t="shared" si="4"/>
        <v>18561463.131999999</v>
      </c>
      <c r="F46" s="1">
        <f t="shared" si="4"/>
        <v>19460005.131999999</v>
      </c>
      <c r="G46" s="1">
        <f t="shared" si="4"/>
        <v>22051804.131999999</v>
      </c>
      <c r="H46" s="1">
        <f t="shared" si="4"/>
        <v>23742710.131999999</v>
      </c>
      <c r="I46" s="1">
        <f t="shared" si="4"/>
        <v>26342192.131999999</v>
      </c>
      <c r="J46" s="1">
        <f t="shared" si="4"/>
        <v>27636133.131999999</v>
      </c>
      <c r="K46" s="1">
        <f t="shared" si="4"/>
        <v>40285081.131999999</v>
      </c>
      <c r="L46" s="1">
        <f t="shared" si="4"/>
        <v>42375952.131999999</v>
      </c>
      <c r="M46" s="2">
        <v>47260707</v>
      </c>
    </row>
    <row r="47" spans="1:13" ht="15.7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13" ht="15.75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</row>
    <row r="49" spans="1:13" ht="15.75">
      <c r="A49" s="52" t="s">
        <v>32</v>
      </c>
      <c r="B49" s="1"/>
      <c r="C49" s="1"/>
      <c r="D49" s="101"/>
      <c r="E49" s="101"/>
      <c r="F49" s="101"/>
      <c r="G49" s="101"/>
      <c r="H49" s="101"/>
      <c r="I49" s="101"/>
      <c r="J49" s="101"/>
      <c r="K49" s="101"/>
      <c r="L49" s="101"/>
      <c r="M49" s="2"/>
    </row>
    <row r="50" spans="1:13" ht="15.75">
      <c r="A50" s="84" t="s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15.75">
      <c r="A51" s="84" t="s">
        <v>7</v>
      </c>
      <c r="B51" s="26">
        <v>190293</v>
      </c>
      <c r="C51" s="26">
        <f>329541+132363+B51</f>
        <v>652197</v>
      </c>
      <c r="D51" s="26">
        <f>546216+554600+C51</f>
        <v>1753013</v>
      </c>
      <c r="E51" s="26">
        <v>3446320</v>
      </c>
      <c r="F51" s="26">
        <v>4591896</v>
      </c>
      <c r="G51" s="26">
        <v>5733645</v>
      </c>
      <c r="H51" s="26">
        <f>548560+554385.68+G51</f>
        <v>6836590.6799999997</v>
      </c>
      <c r="I51" s="26">
        <f>583666+1281+554873+H51</f>
        <v>7976410.6799999997</v>
      </c>
      <c r="J51" s="26">
        <f>559434+562197+I51</f>
        <v>9098041.6799999997</v>
      </c>
      <c r="K51" s="26">
        <v>10769175</v>
      </c>
      <c r="L51" s="26">
        <v>11891906</v>
      </c>
      <c r="M51" s="25">
        <v>14870611</v>
      </c>
    </row>
    <row r="52" spans="1:13" ht="15.75">
      <c r="A52" s="84" t="s">
        <v>8</v>
      </c>
      <c r="B52" s="26">
        <f t="shared" ref="B52:K52" si="5">+B54-B51</f>
        <v>227485</v>
      </c>
      <c r="C52" s="26">
        <f t="shared" si="5"/>
        <v>573783</v>
      </c>
      <c r="D52" s="26">
        <f t="shared" si="5"/>
        <v>1180721</v>
      </c>
      <c r="E52" s="26">
        <f t="shared" si="5"/>
        <v>13892357</v>
      </c>
      <c r="F52" s="26">
        <f t="shared" si="5"/>
        <v>14603335</v>
      </c>
      <c r="G52" s="26">
        <f t="shared" si="5"/>
        <v>17186227</v>
      </c>
      <c r="H52" s="26">
        <f t="shared" si="5"/>
        <v>18571536.32</v>
      </c>
      <c r="I52" s="26">
        <f t="shared" si="5"/>
        <v>19813862.32</v>
      </c>
      <c r="J52" s="26">
        <f t="shared" si="5"/>
        <v>21129117.32</v>
      </c>
      <c r="K52" s="26">
        <f t="shared" si="5"/>
        <v>34922073</v>
      </c>
      <c r="L52" s="26">
        <f>+M52*0.85</f>
        <v>37058552.449999996</v>
      </c>
      <c r="M52" s="25">
        <f>+M54-M51</f>
        <v>43598297</v>
      </c>
    </row>
    <row r="53" spans="1:13">
      <c r="A53" s="8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5"/>
    </row>
    <row r="54" spans="1:13" ht="15.75">
      <c r="A54" s="84" t="s">
        <v>5</v>
      </c>
      <c r="B54" s="1">
        <v>417778</v>
      </c>
      <c r="C54" s="1">
        <v>1225980</v>
      </c>
      <c r="D54" s="1">
        <v>2933734</v>
      </c>
      <c r="E54" s="1">
        <v>17338677</v>
      </c>
      <c r="F54" s="1">
        <v>19195231</v>
      </c>
      <c r="G54" s="1">
        <v>22919872</v>
      </c>
      <c r="H54" s="1">
        <v>25408127</v>
      </c>
      <c r="I54" s="1">
        <v>27790273</v>
      </c>
      <c r="J54" s="1">
        <v>30227159</v>
      </c>
      <c r="K54" s="1">
        <v>45691248</v>
      </c>
      <c r="L54" s="1">
        <f>SUM(L51:L53)</f>
        <v>48950458.449999996</v>
      </c>
      <c r="M54" s="2">
        <v>58468908</v>
      </c>
    </row>
    <row r="55" spans="1:13" ht="15.75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</row>
    <row r="56" spans="1:13" ht="15.75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</row>
    <row r="57" spans="1:13" ht="15.75">
      <c r="A57" s="52" t="s">
        <v>30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5"/>
    </row>
    <row r="58" spans="1:13" ht="15.75">
      <c r="A58" s="21" t="s">
        <v>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5"/>
    </row>
    <row r="59" spans="1:13" ht="15.75">
      <c r="A59" s="21" t="s">
        <v>7</v>
      </c>
      <c r="B59" s="26">
        <v>190293</v>
      </c>
      <c r="C59" s="26">
        <f>329541+132363+B59</f>
        <v>652197</v>
      </c>
      <c r="D59" s="26">
        <f>546216+554600+C59</f>
        <v>1753013</v>
      </c>
      <c r="E59" s="26">
        <v>3446320</v>
      </c>
      <c r="F59" s="26">
        <v>4591896</v>
      </c>
      <c r="G59" s="26">
        <v>5733645</v>
      </c>
      <c r="H59" s="26">
        <f>548560+554385.68+G59</f>
        <v>6836590.6799999997</v>
      </c>
      <c r="I59" s="26">
        <f>583666+1281+554873+H59</f>
        <v>7976410.6799999997</v>
      </c>
      <c r="J59" s="26">
        <f>559434+562197+I59</f>
        <v>9098041.6799999997</v>
      </c>
      <c r="K59" s="26">
        <v>10769175</v>
      </c>
      <c r="L59" s="26">
        <v>11890327</v>
      </c>
      <c r="M59" s="25">
        <f>1027042+465657+1073+L59</f>
        <v>13384099</v>
      </c>
    </row>
    <row r="60" spans="1:13" ht="15.75">
      <c r="A60" s="21" t="s">
        <v>8</v>
      </c>
      <c r="B60" s="26">
        <f t="shared" ref="B60:L60" si="6">+B62-B59</f>
        <v>227485</v>
      </c>
      <c r="C60" s="26">
        <f t="shared" si="6"/>
        <v>573783</v>
      </c>
      <c r="D60" s="26">
        <f t="shared" si="6"/>
        <v>1180721</v>
      </c>
      <c r="E60" s="26">
        <f t="shared" si="6"/>
        <v>13892357</v>
      </c>
      <c r="F60" s="26">
        <f t="shared" si="6"/>
        <v>14603335</v>
      </c>
      <c r="G60" s="26">
        <f t="shared" si="6"/>
        <v>17186227</v>
      </c>
      <c r="H60" s="26">
        <f t="shared" si="6"/>
        <v>18571536.32</v>
      </c>
      <c r="I60" s="26">
        <f t="shared" si="6"/>
        <v>19813862.32</v>
      </c>
      <c r="J60" s="26">
        <f t="shared" si="6"/>
        <v>21129117.32</v>
      </c>
      <c r="K60" s="26">
        <f t="shared" si="6"/>
        <v>34922073</v>
      </c>
      <c r="L60" s="26">
        <f t="shared" si="6"/>
        <v>36675632</v>
      </c>
      <c r="M60" s="25">
        <f>+M62-M59</f>
        <v>39998265</v>
      </c>
    </row>
    <row r="61" spans="1:13">
      <c r="A61" s="27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5"/>
    </row>
    <row r="62" spans="1:13" ht="16.5" thickBot="1">
      <c r="A62" s="32" t="s">
        <v>5</v>
      </c>
      <c r="B62" s="3">
        <v>417778</v>
      </c>
      <c r="C62" s="3">
        <v>1225980</v>
      </c>
      <c r="D62" s="3">
        <v>2933734</v>
      </c>
      <c r="E62" s="3">
        <v>17338677</v>
      </c>
      <c r="F62" s="3">
        <v>19195231</v>
      </c>
      <c r="G62" s="3">
        <v>22919872</v>
      </c>
      <c r="H62" s="3">
        <v>25408127</v>
      </c>
      <c r="I62" s="3">
        <v>27790273</v>
      </c>
      <c r="J62" s="3">
        <v>30227159</v>
      </c>
      <c r="K62" s="3">
        <v>45691248</v>
      </c>
      <c r="L62" s="3">
        <v>48565959</v>
      </c>
      <c r="M62" s="4">
        <v>53382364</v>
      </c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5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>
      <c r="J65" s="13"/>
      <c r="K65" s="13"/>
      <c r="L65" s="13"/>
      <c r="M65" s="13"/>
    </row>
    <row r="66" spans="1:13" ht="15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>
      <c r="A67" s="13"/>
      <c r="B67" s="13"/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>
      <c r="A69" s="13"/>
      <c r="B69" s="13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>
      <c r="A71" s="13"/>
      <c r="B71" s="13"/>
      <c r="C71" s="13"/>
      <c r="D71" s="13"/>
      <c r="E71" s="13"/>
      <c r="F71" s="13"/>
      <c r="G71" s="13"/>
      <c r="H71" s="13"/>
      <c r="I71" s="13"/>
    </row>
    <row r="79" spans="1:13" ht="15.75">
      <c r="A79" s="12"/>
      <c r="B79" s="35"/>
      <c r="C79" s="35"/>
      <c r="D79" s="35"/>
      <c r="E79" s="35"/>
      <c r="F79" s="35"/>
      <c r="G79" s="35"/>
      <c r="H79" s="35"/>
    </row>
    <row r="80" spans="1:13" ht="15.75">
      <c r="A80" s="12"/>
      <c r="B80" s="35"/>
      <c r="C80" s="35"/>
      <c r="D80" s="35"/>
      <c r="E80" s="35"/>
      <c r="F80" s="35"/>
      <c r="G80" s="35"/>
      <c r="H80" s="35"/>
    </row>
    <row r="81" spans="1:8" ht="15.75">
      <c r="A81" s="12"/>
      <c r="B81" s="35"/>
      <c r="C81" s="35"/>
      <c r="D81" s="35"/>
      <c r="E81" s="35"/>
      <c r="F81" s="35"/>
      <c r="G81" s="35"/>
      <c r="H81" s="35"/>
    </row>
    <row r="82" spans="1:8" ht="15.75">
      <c r="A82" s="12"/>
      <c r="B82" s="35"/>
      <c r="C82" s="35"/>
      <c r="D82" s="35"/>
      <c r="E82" s="35"/>
      <c r="F82" s="35"/>
      <c r="G82" s="35"/>
      <c r="H82" s="35"/>
    </row>
    <row r="83" spans="1:8" ht="15.75">
      <c r="A83" s="12"/>
      <c r="B83" s="35"/>
      <c r="C83" s="35"/>
      <c r="D83" s="35"/>
      <c r="E83" s="35"/>
      <c r="F83" s="35"/>
      <c r="G83" s="35"/>
      <c r="H83" s="35"/>
    </row>
    <row r="84" spans="1:8" ht="15.75">
      <c r="A84" s="12"/>
      <c r="B84" s="35"/>
      <c r="C84" s="35"/>
      <c r="D84" s="35"/>
      <c r="E84" s="35"/>
      <c r="F84" s="35"/>
      <c r="G84" s="35"/>
      <c r="H84" s="35"/>
    </row>
    <row r="85" spans="1:8" ht="12.95" customHeight="1">
      <c r="A85" s="12"/>
      <c r="B85" s="35"/>
      <c r="C85" s="35"/>
      <c r="D85" s="35"/>
      <c r="E85" s="35"/>
      <c r="F85" s="35"/>
      <c r="G85" s="35"/>
      <c r="H85" s="35"/>
    </row>
    <row r="86" spans="1:8" ht="15.75">
      <c r="A86" s="12"/>
      <c r="B86" s="35"/>
      <c r="C86" s="35"/>
      <c r="D86" s="35"/>
      <c r="E86" s="35"/>
      <c r="F86" s="35"/>
      <c r="G86" s="35"/>
      <c r="H86" s="35"/>
    </row>
    <row r="87" spans="1:8" ht="15.75">
      <c r="A87" s="12"/>
      <c r="B87" s="35"/>
      <c r="C87" s="35"/>
      <c r="D87" s="35"/>
      <c r="E87" s="35"/>
      <c r="F87" s="35"/>
      <c r="G87" s="35"/>
      <c r="H87" s="35"/>
    </row>
    <row r="88" spans="1:8" ht="15.75">
      <c r="A88" s="12"/>
      <c r="B88" s="35"/>
      <c r="C88" s="35"/>
      <c r="D88" s="35"/>
      <c r="E88" s="35"/>
      <c r="F88" s="35"/>
      <c r="G88" s="35"/>
      <c r="H88" s="35"/>
    </row>
    <row r="89" spans="1:8" ht="15.75">
      <c r="A89" s="12"/>
      <c r="B89" s="35"/>
      <c r="C89" s="35"/>
      <c r="D89" s="35"/>
      <c r="E89" s="35"/>
      <c r="F89" s="35"/>
      <c r="G89" s="35"/>
      <c r="H89" s="35"/>
    </row>
    <row r="90" spans="1:8" ht="15.75">
      <c r="A90" s="12"/>
      <c r="B90" s="35"/>
      <c r="C90" s="35"/>
      <c r="D90" s="35"/>
      <c r="E90" s="35"/>
      <c r="F90" s="35"/>
      <c r="G90" s="35"/>
      <c r="H90" s="35"/>
    </row>
    <row r="91" spans="1:8" ht="15.75">
      <c r="A91" s="12"/>
      <c r="B91" s="35"/>
      <c r="C91" s="35"/>
      <c r="D91" s="35"/>
      <c r="E91" s="35"/>
      <c r="F91" s="35"/>
      <c r="G91" s="35"/>
      <c r="H91" s="35"/>
    </row>
    <row r="113" spans="1:8" ht="15.75">
      <c r="A113" s="12"/>
      <c r="B113" s="12"/>
      <c r="C113" s="13"/>
      <c r="D113" s="13"/>
      <c r="E113" s="13"/>
    </row>
    <row r="115" spans="1:8" ht="15.75">
      <c r="A115" s="12"/>
      <c r="B115" s="12"/>
      <c r="C115" s="12"/>
      <c r="D115" s="12"/>
      <c r="E115" s="12"/>
      <c r="F115" s="12"/>
      <c r="G115" s="13"/>
      <c r="H115" s="13"/>
    </row>
    <row r="116" spans="1:8" ht="15.75">
      <c r="A116" s="12"/>
      <c r="B116" s="12"/>
      <c r="C116" s="12"/>
      <c r="D116" s="12"/>
      <c r="E116" s="12"/>
      <c r="F116" s="12"/>
      <c r="G116" s="13"/>
      <c r="H116" s="13"/>
    </row>
    <row r="117" spans="1:8" ht="15.75">
      <c r="A117" s="12"/>
      <c r="B117" s="12"/>
      <c r="C117" s="12"/>
      <c r="D117" s="12"/>
      <c r="E117" s="12"/>
      <c r="F117" s="12"/>
      <c r="G117" s="13"/>
      <c r="H117" s="13"/>
    </row>
    <row r="121" spans="1:8" ht="15.75">
      <c r="A121" s="12"/>
      <c r="C121" s="13" t="s">
        <v>9</v>
      </c>
      <c r="D121" s="13"/>
      <c r="E121" s="13"/>
      <c r="F121" s="36">
        <v>23627166</v>
      </c>
    </row>
  </sheetData>
  <phoneticPr fontId="13" type="noConversion"/>
  <printOptions horizontalCentered="1" verticalCentered="1"/>
  <pageMargins left="0.5" right="0.5" top="0.5" bottom="0.5" header="0.5" footer="0.5"/>
  <pageSetup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1"/>
  <sheetViews>
    <sheetView defaultGridColor="0" topLeftCell="B15" colorId="22" zoomScale="87" workbookViewId="0">
      <selection activeCell="D130" sqref="D130"/>
    </sheetView>
  </sheetViews>
  <sheetFormatPr defaultColWidth="12.5703125" defaultRowHeight="15"/>
  <cols>
    <col min="1" max="1" width="22.85546875" style="69" customWidth="1"/>
    <col min="2" max="2" width="12.5703125" style="69"/>
    <col min="3" max="4" width="14.5703125" style="69" bestFit="1" customWidth="1"/>
    <col min="5" max="5" width="14.5703125" style="69" customWidth="1"/>
    <col min="6" max="6" width="16.42578125" style="69" customWidth="1"/>
    <col min="7" max="7" width="14.5703125" style="69" customWidth="1"/>
    <col min="8" max="8" width="15.85546875" style="69" customWidth="1"/>
    <col min="9" max="9" width="16" style="69" customWidth="1"/>
    <col min="10" max="10" width="15.5703125" style="69" customWidth="1"/>
    <col min="11" max="11" width="16" style="69" customWidth="1"/>
    <col min="12" max="12" width="16.140625" style="69" customWidth="1"/>
    <col min="13" max="13" width="15.85546875" style="69" customWidth="1"/>
    <col min="14" max="16384" width="12.5703125" style="69"/>
  </cols>
  <sheetData>
    <row r="1" spans="1:36" ht="20.25">
      <c r="A1" s="37" t="s">
        <v>31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</row>
    <row r="2" spans="1:36" ht="18.75">
      <c r="A2" s="70" t="s">
        <v>0</v>
      </c>
      <c r="B2" s="71"/>
      <c r="C2" s="72"/>
      <c r="D2" s="67"/>
      <c r="E2" s="68"/>
      <c r="F2" s="68"/>
      <c r="G2" s="68"/>
      <c r="H2" s="68"/>
      <c r="I2" s="68"/>
      <c r="J2" s="68"/>
      <c r="K2" s="68"/>
      <c r="L2" s="68"/>
      <c r="M2" s="68"/>
    </row>
    <row r="5" spans="1:36" ht="18.75" thickBot="1">
      <c r="A5" s="73" t="s">
        <v>22</v>
      </c>
      <c r="B5" s="74"/>
      <c r="C5" s="74"/>
      <c r="D5" s="75"/>
      <c r="E5" s="75"/>
      <c r="F5" s="75"/>
      <c r="G5" s="75"/>
      <c r="H5" s="75"/>
      <c r="I5" s="76"/>
      <c r="J5" s="76"/>
      <c r="K5" s="76"/>
      <c r="L5" s="76"/>
      <c r="M5" s="76"/>
    </row>
    <row r="6" spans="1:36" ht="15.75">
      <c r="A6" s="77"/>
      <c r="B6" s="78" t="s">
        <v>10</v>
      </c>
      <c r="C6" s="78" t="s">
        <v>11</v>
      </c>
      <c r="D6" s="78" t="s">
        <v>12</v>
      </c>
      <c r="E6" s="78" t="s">
        <v>13</v>
      </c>
      <c r="F6" s="78" t="s">
        <v>14</v>
      </c>
      <c r="G6" s="78" t="s">
        <v>15</v>
      </c>
      <c r="H6" s="78" t="s">
        <v>16</v>
      </c>
      <c r="I6" s="78" t="s">
        <v>17</v>
      </c>
      <c r="J6" s="78" t="s">
        <v>18</v>
      </c>
      <c r="K6" s="78" t="s">
        <v>19</v>
      </c>
      <c r="L6" s="78" t="s">
        <v>20</v>
      </c>
      <c r="M6" s="79" t="s">
        <v>21</v>
      </c>
    </row>
    <row r="7" spans="1:36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36" ht="15.75">
      <c r="A8" s="83" t="s">
        <v>29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36" ht="15.75">
      <c r="A9" s="84" t="s">
        <v>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36" ht="15.75">
      <c r="A10" s="84" t="s">
        <v>2</v>
      </c>
      <c r="B10" s="87">
        <v>333218</v>
      </c>
      <c r="C10" s="87">
        <f>+M10*0.2</f>
        <v>2315535.4</v>
      </c>
      <c r="D10" s="87">
        <f>+M10*0.68</f>
        <v>7872820.3600000003</v>
      </c>
      <c r="E10" s="87">
        <f>+M10*0.77</f>
        <v>8914811.290000001</v>
      </c>
      <c r="F10" s="87">
        <f>+M10*0.78</f>
        <v>9030588.0600000005</v>
      </c>
      <c r="G10" s="87">
        <f>+M10*0.8</f>
        <v>9262141.5999999996</v>
      </c>
      <c r="H10" s="87">
        <f>+M10*0.84</f>
        <v>9725248.6799999997</v>
      </c>
      <c r="I10" s="87">
        <f>+M10*0.87</f>
        <v>10072578.99</v>
      </c>
      <c r="J10" s="87">
        <f>+M10*0.9</f>
        <v>10419909.300000001</v>
      </c>
      <c r="K10" s="87">
        <f>+M10*0.97</f>
        <v>11230346.689999999</v>
      </c>
      <c r="L10" s="87">
        <f>+M10*0.98</f>
        <v>11346123.459999999</v>
      </c>
      <c r="M10" s="86">
        <v>11577677</v>
      </c>
    </row>
    <row r="11" spans="1:36" ht="15.75">
      <c r="A11" s="84" t="s">
        <v>3</v>
      </c>
      <c r="B11" s="85">
        <v>62</v>
      </c>
      <c r="C11" s="85">
        <f>+B11</f>
        <v>62</v>
      </c>
      <c r="D11" s="85">
        <f>+C11</f>
        <v>62</v>
      </c>
      <c r="E11" s="85">
        <f t="shared" ref="E11:L11" si="0">61314+D11</f>
        <v>61376</v>
      </c>
      <c r="F11" s="85">
        <f t="shared" si="0"/>
        <v>122690</v>
      </c>
      <c r="G11" s="85">
        <f t="shared" si="0"/>
        <v>184004</v>
      </c>
      <c r="H11" s="85">
        <f t="shared" si="0"/>
        <v>245318</v>
      </c>
      <c r="I11" s="85">
        <f t="shared" si="0"/>
        <v>306632</v>
      </c>
      <c r="J11" s="85">
        <f t="shared" si="0"/>
        <v>367946</v>
      </c>
      <c r="K11" s="85">
        <f t="shared" si="0"/>
        <v>429260</v>
      </c>
      <c r="L11" s="85">
        <f t="shared" si="0"/>
        <v>490574</v>
      </c>
      <c r="M11" s="86">
        <v>675452</v>
      </c>
    </row>
    <row r="12" spans="1:36" ht="15.75">
      <c r="A12" s="84" t="s">
        <v>4</v>
      </c>
      <c r="B12" s="85">
        <v>0</v>
      </c>
      <c r="C12" s="85">
        <v>0</v>
      </c>
      <c r="D12" s="85">
        <f>+M12*0.01</f>
        <v>5325.96</v>
      </c>
      <c r="E12" s="85">
        <f>+M12*0.02</f>
        <v>10651.92</v>
      </c>
      <c r="F12" s="85">
        <f>+M12*0.025</f>
        <v>13314.900000000001</v>
      </c>
      <c r="G12" s="85">
        <f>+M12*0.04</f>
        <v>21303.84</v>
      </c>
      <c r="H12" s="85">
        <f>+M12*0.045</f>
        <v>23966.82</v>
      </c>
      <c r="I12" s="85">
        <f>+M12*0.52</f>
        <v>276949.92</v>
      </c>
      <c r="J12" s="85">
        <f>+M12*0.61</f>
        <v>324883.56</v>
      </c>
      <c r="K12" s="85">
        <f>+M12*0.72</f>
        <v>383469.12</v>
      </c>
      <c r="L12" s="85">
        <f>+M12*0.79</f>
        <v>420750.84</v>
      </c>
      <c r="M12" s="86">
        <v>532596</v>
      </c>
    </row>
    <row r="13" spans="1:36" ht="15.75">
      <c r="A13" s="84" t="s">
        <v>25</v>
      </c>
      <c r="B13" s="85">
        <v>0</v>
      </c>
      <c r="C13" s="85">
        <v>0</v>
      </c>
      <c r="D13" s="85">
        <v>0</v>
      </c>
      <c r="E13" s="85">
        <f>M13*0.0047</f>
        <v>0</v>
      </c>
      <c r="F13" s="85">
        <f>M13*0.0047</f>
        <v>0</v>
      </c>
      <c r="G13" s="85">
        <f>M13*0.0047</f>
        <v>0</v>
      </c>
      <c r="H13" s="85">
        <f>M13*0.0047</f>
        <v>0</v>
      </c>
      <c r="I13" s="85">
        <f>M13*0.4233</f>
        <v>0</v>
      </c>
      <c r="J13" s="85">
        <f>M13*0.4557</f>
        <v>0</v>
      </c>
      <c r="K13" s="85">
        <f>M13*0.994</f>
        <v>0</v>
      </c>
      <c r="L13" s="85">
        <f>M13*0.994</f>
        <v>0</v>
      </c>
      <c r="M13" s="86">
        <v>0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>
      <c r="A14" s="8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36" ht="15.75">
      <c r="A15" s="84" t="s">
        <v>5</v>
      </c>
      <c r="B15" s="1">
        <f t="shared" ref="B15:M15" si="1">SUM(B10:B14)</f>
        <v>333280</v>
      </c>
      <c r="C15" s="1">
        <f t="shared" si="1"/>
        <v>2315597.4</v>
      </c>
      <c r="D15" s="1">
        <f t="shared" si="1"/>
        <v>7878208.3200000003</v>
      </c>
      <c r="E15" s="1">
        <f t="shared" si="1"/>
        <v>8986839.2100000009</v>
      </c>
      <c r="F15" s="1">
        <f t="shared" si="1"/>
        <v>9166592.9600000009</v>
      </c>
      <c r="G15" s="1">
        <f t="shared" si="1"/>
        <v>9467449.4399999995</v>
      </c>
      <c r="H15" s="1">
        <f t="shared" si="1"/>
        <v>9994533.5</v>
      </c>
      <c r="I15" s="1">
        <f t="shared" si="1"/>
        <v>10656160.91</v>
      </c>
      <c r="J15" s="1">
        <f t="shared" si="1"/>
        <v>11112738.860000001</v>
      </c>
      <c r="K15" s="1">
        <f t="shared" si="1"/>
        <v>12043075.809999999</v>
      </c>
      <c r="L15" s="1">
        <f t="shared" si="1"/>
        <v>12257448.299999999</v>
      </c>
      <c r="M15" s="2">
        <f t="shared" si="1"/>
        <v>12785725</v>
      </c>
    </row>
    <row r="16" spans="1:36" ht="15.75">
      <c r="A16" s="8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8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32</v>
      </c>
      <c r="B18" s="1"/>
      <c r="C18" s="1"/>
      <c r="D18" s="1"/>
      <c r="E18" s="1"/>
      <c r="F18" s="101"/>
      <c r="G18" s="101"/>
      <c r="H18" s="102"/>
      <c r="I18" s="1"/>
      <c r="J18" s="1"/>
      <c r="K18" s="1"/>
      <c r="L18" s="1"/>
      <c r="M18" s="2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87">
        <v>333218</v>
      </c>
      <c r="C20" s="87">
        <v>2149211</v>
      </c>
      <c r="D20" s="87">
        <v>8227858</v>
      </c>
      <c r="E20" s="89">
        <v>8715074</v>
      </c>
      <c r="F20" s="87">
        <v>9164512</v>
      </c>
      <c r="G20" s="87">
        <v>9513148</v>
      </c>
      <c r="H20" s="87">
        <v>9909256</v>
      </c>
      <c r="I20" s="89">
        <v>10217479</v>
      </c>
      <c r="J20" s="89">
        <v>10434810</v>
      </c>
      <c r="K20" s="89">
        <v>11248072</v>
      </c>
      <c r="L20" s="87">
        <f>+M20*98%</f>
        <v>11409670.58</v>
      </c>
      <c r="M20" s="86">
        <v>11642521</v>
      </c>
    </row>
    <row r="21" spans="1:16" ht="15.75">
      <c r="A21" s="84" t="s">
        <v>3</v>
      </c>
      <c r="B21" s="85">
        <v>62</v>
      </c>
      <c r="C21" s="85">
        <v>86</v>
      </c>
      <c r="D21" s="85">
        <v>132</v>
      </c>
      <c r="E21" s="91">
        <v>55064</v>
      </c>
      <c r="F21" s="85">
        <v>109742</v>
      </c>
      <c r="G21" s="85">
        <v>164489</v>
      </c>
      <c r="H21" s="85">
        <v>219320</v>
      </c>
      <c r="I21" s="91">
        <v>274681</v>
      </c>
      <c r="J21" s="91">
        <v>330789</v>
      </c>
      <c r="K21" s="91">
        <v>385790</v>
      </c>
      <c r="L21" s="85">
        <f>+K21+54828</f>
        <v>440618</v>
      </c>
      <c r="M21" s="86">
        <v>605101</v>
      </c>
    </row>
    <row r="22" spans="1:16" ht="15.75">
      <c r="A22" s="84" t="s">
        <v>4</v>
      </c>
      <c r="B22" s="85">
        <v>0</v>
      </c>
      <c r="C22" s="85">
        <v>0</v>
      </c>
      <c r="D22" s="85">
        <v>1072</v>
      </c>
      <c r="E22" s="91">
        <v>5851</v>
      </c>
      <c r="F22" s="85">
        <v>99114</v>
      </c>
      <c r="G22" s="85">
        <v>106082</v>
      </c>
      <c r="H22" s="85">
        <v>187929</v>
      </c>
      <c r="I22" s="91">
        <v>192907</v>
      </c>
      <c r="J22" s="91">
        <v>251628</v>
      </c>
      <c r="K22" s="91">
        <v>306657</v>
      </c>
      <c r="L22" s="85">
        <f>+K22+25481</f>
        <v>332138</v>
      </c>
      <c r="M22" s="86">
        <v>542349</v>
      </c>
    </row>
    <row r="23" spans="1:16" ht="15.75">
      <c r="A23" s="84" t="s">
        <v>25</v>
      </c>
      <c r="B23" s="85">
        <v>0</v>
      </c>
      <c r="C23" s="91">
        <v>0</v>
      </c>
      <c r="D23" s="91">
        <v>6547</v>
      </c>
      <c r="E23" s="91">
        <v>12513</v>
      </c>
      <c r="F23" s="85">
        <v>12513</v>
      </c>
      <c r="G23" s="85">
        <v>15846</v>
      </c>
      <c r="H23" s="85">
        <v>17906</v>
      </c>
      <c r="I23" s="91">
        <v>17906</v>
      </c>
      <c r="J23" s="91">
        <v>17906</v>
      </c>
      <c r="K23" s="91">
        <v>17906</v>
      </c>
      <c r="L23" s="85">
        <f>+K23</f>
        <v>17906</v>
      </c>
      <c r="M23" s="86">
        <v>17906</v>
      </c>
    </row>
    <row r="24" spans="1:16">
      <c r="A24" s="8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6" ht="15.75">
      <c r="A25" s="84" t="s">
        <v>5</v>
      </c>
      <c r="B25" s="1">
        <f t="shared" ref="B25:M25" si="2">SUM(B20:B24)</f>
        <v>333280</v>
      </c>
      <c r="C25" s="1">
        <f t="shared" si="2"/>
        <v>2149297</v>
      </c>
      <c r="D25" s="1">
        <f t="shared" si="2"/>
        <v>8235609</v>
      </c>
      <c r="E25" s="1">
        <f t="shared" si="2"/>
        <v>8788502</v>
      </c>
      <c r="F25" s="1">
        <f t="shared" si="2"/>
        <v>9385881</v>
      </c>
      <c r="G25" s="1">
        <f t="shared" si="2"/>
        <v>9799565</v>
      </c>
      <c r="H25" s="1">
        <f>SUM(H20:H24)</f>
        <v>10334411</v>
      </c>
      <c r="I25" s="1">
        <f>SUM(I20:I24)</f>
        <v>10702973</v>
      </c>
      <c r="J25" s="1">
        <f>SUM(J20:J24)</f>
        <v>11035133</v>
      </c>
      <c r="K25" s="1">
        <f>SUM(K20:K24)</f>
        <v>11958425</v>
      </c>
      <c r="L25" s="1">
        <f t="shared" si="2"/>
        <v>12200332.58</v>
      </c>
      <c r="M25" s="2">
        <f t="shared" si="2"/>
        <v>12807877</v>
      </c>
    </row>
    <row r="26" spans="1:16" ht="15.75">
      <c r="A26" s="8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8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30</v>
      </c>
      <c r="B28" s="87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6" ht="15.75">
      <c r="A29" s="84" t="s">
        <v>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6" ht="15.75">
      <c r="A30" s="84" t="s">
        <v>2</v>
      </c>
      <c r="B30" s="87">
        <v>333218</v>
      </c>
      <c r="C30" s="87">
        <v>2149211</v>
      </c>
      <c r="D30" s="87">
        <v>8227858</v>
      </c>
      <c r="E30" s="89">
        <v>8715074</v>
      </c>
      <c r="F30" s="87">
        <v>9164512</v>
      </c>
      <c r="G30" s="87">
        <v>9513148</v>
      </c>
      <c r="H30" s="87">
        <v>9909256</v>
      </c>
      <c r="I30" s="89">
        <v>10217479</v>
      </c>
      <c r="J30" s="89">
        <v>10434810</v>
      </c>
      <c r="K30" s="89">
        <v>11248072</v>
      </c>
      <c r="L30" s="89">
        <v>11440815</v>
      </c>
      <c r="M30" s="90">
        <v>11706579</v>
      </c>
      <c r="N30" s="76"/>
      <c r="O30" s="76"/>
      <c r="P30" s="76"/>
    </row>
    <row r="31" spans="1:16" ht="15.75">
      <c r="A31" s="84" t="s">
        <v>3</v>
      </c>
      <c r="B31" s="85">
        <v>62</v>
      </c>
      <c r="C31" s="85">
        <v>86</v>
      </c>
      <c r="D31" s="85">
        <v>132</v>
      </c>
      <c r="E31" s="91">
        <v>55064</v>
      </c>
      <c r="F31" s="85">
        <v>109742</v>
      </c>
      <c r="G31" s="85">
        <v>164489</v>
      </c>
      <c r="H31" s="85">
        <v>219320</v>
      </c>
      <c r="I31" s="91">
        <v>274681</v>
      </c>
      <c r="J31" s="91">
        <v>330789</v>
      </c>
      <c r="K31" s="91">
        <v>385790</v>
      </c>
      <c r="L31" s="91">
        <v>440532</v>
      </c>
      <c r="M31" s="86">
        <v>516472</v>
      </c>
    </row>
    <row r="32" spans="1:16" ht="15.75">
      <c r="A32" s="84" t="s">
        <v>4</v>
      </c>
      <c r="B32" s="85">
        <v>0</v>
      </c>
      <c r="C32" s="85">
        <v>0</v>
      </c>
      <c r="D32" s="85">
        <v>1072</v>
      </c>
      <c r="E32" s="91">
        <v>5851</v>
      </c>
      <c r="F32" s="85">
        <v>99114</v>
      </c>
      <c r="G32" s="85">
        <v>106082</v>
      </c>
      <c r="H32" s="85">
        <v>187929</v>
      </c>
      <c r="I32" s="91">
        <v>192907</v>
      </c>
      <c r="J32" s="91">
        <v>251628</v>
      </c>
      <c r="K32" s="91">
        <v>306657</v>
      </c>
      <c r="L32" s="91">
        <v>310141</v>
      </c>
      <c r="M32" s="86">
        <v>439976</v>
      </c>
    </row>
    <row r="33" spans="1:13" ht="15.75">
      <c r="A33" s="84" t="s">
        <v>25</v>
      </c>
      <c r="B33" s="85">
        <v>0</v>
      </c>
      <c r="C33" s="91">
        <v>0</v>
      </c>
      <c r="D33" s="91">
        <v>6547</v>
      </c>
      <c r="E33" s="91">
        <v>12513</v>
      </c>
      <c r="F33" s="85">
        <v>12513</v>
      </c>
      <c r="G33" s="85">
        <v>15846</v>
      </c>
      <c r="H33" s="85">
        <v>17906</v>
      </c>
      <c r="I33" s="91">
        <v>17906</v>
      </c>
      <c r="J33" s="91">
        <v>17906</v>
      </c>
      <c r="K33" s="91">
        <v>17906</v>
      </c>
      <c r="L33" s="91">
        <v>17906</v>
      </c>
      <c r="M33" s="86">
        <v>17906</v>
      </c>
    </row>
    <row r="34" spans="1:13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</row>
    <row r="35" spans="1:13" ht="16.5" thickBot="1">
      <c r="A35" s="92" t="s">
        <v>5</v>
      </c>
      <c r="B35" s="3">
        <f t="shared" ref="B35:L35" si="3">SUM(B30:B34)</f>
        <v>333280</v>
      </c>
      <c r="C35" s="3">
        <f t="shared" si="3"/>
        <v>2149297</v>
      </c>
      <c r="D35" s="3">
        <f t="shared" si="3"/>
        <v>8235609</v>
      </c>
      <c r="E35" s="3">
        <f t="shared" si="3"/>
        <v>8788502</v>
      </c>
      <c r="F35" s="3">
        <f t="shared" si="3"/>
        <v>9385881</v>
      </c>
      <c r="G35" s="3">
        <f t="shared" si="3"/>
        <v>9799565</v>
      </c>
      <c r="H35" s="3">
        <f t="shared" si="3"/>
        <v>10334411</v>
      </c>
      <c r="I35" s="3">
        <f t="shared" si="3"/>
        <v>10702973</v>
      </c>
      <c r="J35" s="3">
        <f t="shared" si="3"/>
        <v>11035133</v>
      </c>
      <c r="K35" s="3">
        <f t="shared" si="3"/>
        <v>11958425</v>
      </c>
      <c r="L35" s="3">
        <f t="shared" si="3"/>
        <v>12209394</v>
      </c>
      <c r="M35" s="4">
        <f>+M30+M31+M32+M33</f>
        <v>12680933</v>
      </c>
    </row>
    <row r="36" spans="1:1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>
      <c r="A37" s="94"/>
      <c r="B37" s="95"/>
      <c r="C37" s="95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ht="18.75" thickBot="1">
      <c r="A38" s="96" t="s">
        <v>23</v>
      </c>
      <c r="B38" s="94"/>
      <c r="C38" s="94"/>
      <c r="D38" s="94"/>
      <c r="E38" s="94"/>
      <c r="F38" s="94"/>
      <c r="G38" s="94"/>
      <c r="H38" s="94"/>
      <c r="I38" s="94"/>
      <c r="J38" s="95"/>
      <c r="K38" s="93"/>
      <c r="L38" s="93"/>
      <c r="M38" s="93"/>
    </row>
    <row r="39" spans="1:13" ht="15.75">
      <c r="A39" s="77"/>
      <c r="B39" s="78" t="s">
        <v>10</v>
      </c>
      <c r="C39" s="78" t="s">
        <v>11</v>
      </c>
      <c r="D39" s="78" t="s">
        <v>12</v>
      </c>
      <c r="E39" s="78" t="s">
        <v>13</v>
      </c>
      <c r="F39" s="78" t="s">
        <v>14</v>
      </c>
      <c r="G39" s="78" t="s">
        <v>15</v>
      </c>
      <c r="H39" s="78" t="s">
        <v>16</v>
      </c>
      <c r="I39" s="78" t="s">
        <v>17</v>
      </c>
      <c r="J39" s="78" t="s">
        <v>18</v>
      </c>
      <c r="K39" s="78" t="s">
        <v>19</v>
      </c>
      <c r="L39" s="78" t="s">
        <v>20</v>
      </c>
      <c r="M39" s="79" t="s">
        <v>21</v>
      </c>
    </row>
    <row r="40" spans="1:13">
      <c r="A40" s="8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</row>
    <row r="41" spans="1:13" ht="15.75">
      <c r="A41" s="83" t="s">
        <v>29</v>
      </c>
      <c r="B41" s="87"/>
      <c r="C41" s="87"/>
      <c r="D41" s="85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13" ht="15.75">
      <c r="A42" s="84" t="s">
        <v>6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</row>
    <row r="43" spans="1:13" ht="15.75">
      <c r="A43" s="84" t="s">
        <v>7</v>
      </c>
      <c r="B43" s="85">
        <f>+B59</f>
        <v>124299</v>
      </c>
      <c r="C43" s="85">
        <v>404738</v>
      </c>
      <c r="D43" s="85">
        <v>821047</v>
      </c>
      <c r="E43" s="85">
        <v>1445511</v>
      </c>
      <c r="F43" s="85">
        <v>1861820</v>
      </c>
      <c r="G43" s="85">
        <v>2278129</v>
      </c>
      <c r="H43" s="85">
        <v>2694438</v>
      </c>
      <c r="I43" s="85">
        <v>3110747</v>
      </c>
      <c r="J43" s="85">
        <v>3527056</v>
      </c>
      <c r="K43" s="85">
        <v>4151520</v>
      </c>
      <c r="L43" s="85">
        <v>4567829</v>
      </c>
      <c r="M43" s="86">
        <v>5203864</v>
      </c>
    </row>
    <row r="44" spans="1:13" ht="15.75">
      <c r="A44" s="84" t="s">
        <v>8</v>
      </c>
      <c r="B44" s="85">
        <f>+B60</f>
        <v>255510</v>
      </c>
      <c r="C44" s="85">
        <f>7490684*0.08</f>
        <v>599254.72</v>
      </c>
      <c r="D44" s="85">
        <f>7490684*13%</f>
        <v>973788.92</v>
      </c>
      <c r="E44" s="85">
        <f>7490684*21%</f>
        <v>1573043.64</v>
      </c>
      <c r="F44" s="85">
        <f>7490684*27%</f>
        <v>2022484.6800000002</v>
      </c>
      <c r="G44" s="85">
        <f>7490684*51%</f>
        <v>3820248.84</v>
      </c>
      <c r="H44" s="85">
        <f>7490684*57%</f>
        <v>4269689.88</v>
      </c>
      <c r="I44" s="85">
        <f>7490684*64%</f>
        <v>4794037.76</v>
      </c>
      <c r="J44" s="85">
        <f>7490684*71%</f>
        <v>5318385.6399999997</v>
      </c>
      <c r="K44" s="85">
        <f>7490684*81%</f>
        <v>6067454.04</v>
      </c>
      <c r="L44" s="85">
        <f>7490684*93%</f>
        <v>6966336.1200000001</v>
      </c>
      <c r="M44" s="86">
        <f>M46-M43</f>
        <v>12392360</v>
      </c>
    </row>
    <row r="45" spans="1:13">
      <c r="A45" s="88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6"/>
    </row>
    <row r="46" spans="1:13" ht="15.75">
      <c r="A46" s="84" t="s">
        <v>5</v>
      </c>
      <c r="B46" s="1">
        <v>379809</v>
      </c>
      <c r="C46" s="1">
        <f t="shared" ref="C46:L46" si="4">+C44+C43</f>
        <v>1003992.72</v>
      </c>
      <c r="D46" s="1">
        <f t="shared" si="4"/>
        <v>1794835.92</v>
      </c>
      <c r="E46" s="1">
        <f t="shared" si="4"/>
        <v>3018554.6399999997</v>
      </c>
      <c r="F46" s="1">
        <f t="shared" si="4"/>
        <v>3884304.68</v>
      </c>
      <c r="G46" s="1">
        <f t="shared" si="4"/>
        <v>6098377.8399999999</v>
      </c>
      <c r="H46" s="1">
        <f t="shared" si="4"/>
        <v>6964127.8799999999</v>
      </c>
      <c r="I46" s="1">
        <f t="shared" si="4"/>
        <v>7904784.7599999998</v>
      </c>
      <c r="J46" s="1">
        <f t="shared" si="4"/>
        <v>8845441.6400000006</v>
      </c>
      <c r="K46" s="1">
        <f t="shared" si="4"/>
        <v>10218974.039999999</v>
      </c>
      <c r="L46" s="1">
        <f t="shared" si="4"/>
        <v>11534165.120000001</v>
      </c>
      <c r="M46" s="2">
        <v>17596224</v>
      </c>
    </row>
    <row r="47" spans="1:13" ht="15.75">
      <c r="A47" s="8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13" ht="15.75">
      <c r="A48" s="8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</row>
    <row r="49" spans="1:13" ht="15.75">
      <c r="A49" s="52" t="s">
        <v>32</v>
      </c>
      <c r="B49" s="1"/>
      <c r="C49" s="1"/>
      <c r="D49" s="1"/>
      <c r="E49" s="101"/>
      <c r="F49" s="101"/>
      <c r="G49" s="101"/>
      <c r="H49" s="1"/>
      <c r="I49" s="101"/>
      <c r="J49" s="101"/>
      <c r="K49" s="101"/>
      <c r="L49" s="1"/>
      <c r="M49" s="2"/>
    </row>
    <row r="50" spans="1:13" ht="15.75">
      <c r="A50" s="84" t="s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15.75">
      <c r="A51" s="84" t="s">
        <v>7</v>
      </c>
      <c r="B51" s="85">
        <f>45643+342+78314</f>
        <v>124299</v>
      </c>
      <c r="C51" s="85">
        <v>380653</v>
      </c>
      <c r="D51" s="85">
        <f>189619+188306+C51</f>
        <v>758578</v>
      </c>
      <c r="E51" s="85">
        <f>204746+199778+200210+D51</f>
        <v>1363312</v>
      </c>
      <c r="F51" s="85">
        <f>198836+198001+E51</f>
        <v>1760149</v>
      </c>
      <c r="G51" s="85">
        <v>2158927</v>
      </c>
      <c r="H51" s="85">
        <f>191935+184266+G51</f>
        <v>2535128</v>
      </c>
      <c r="I51" s="85">
        <f>199723+202161+H51</f>
        <v>2937012</v>
      </c>
      <c r="J51" s="85">
        <f>202554+200747+I51</f>
        <v>3340313</v>
      </c>
      <c r="K51" s="85">
        <v>3939174</v>
      </c>
      <c r="L51" s="85">
        <v>4343756</v>
      </c>
      <c r="M51" s="86">
        <v>5220421</v>
      </c>
    </row>
    <row r="52" spans="1:13" ht="15.75">
      <c r="A52" s="84" t="s">
        <v>8</v>
      </c>
      <c r="B52" s="85">
        <f t="shared" ref="B52:G52" si="5">+B54-B51</f>
        <v>255510</v>
      </c>
      <c r="C52" s="85">
        <f t="shared" si="5"/>
        <v>561810</v>
      </c>
      <c r="D52" s="85">
        <f t="shared" si="5"/>
        <v>967956</v>
      </c>
      <c r="E52" s="85">
        <f t="shared" si="5"/>
        <v>1404329</v>
      </c>
      <c r="F52" s="85">
        <f t="shared" si="5"/>
        <v>1860523</v>
      </c>
      <c r="G52" s="85">
        <f t="shared" si="5"/>
        <v>3325386</v>
      </c>
      <c r="H52" s="85">
        <f>+H54-H51</f>
        <v>3760458</v>
      </c>
      <c r="I52" s="85">
        <f>+I54-I51</f>
        <v>4157079</v>
      </c>
      <c r="J52" s="85">
        <f>+J54-J51</f>
        <v>4607138</v>
      </c>
      <c r="K52" s="85">
        <f>+K54-K51</f>
        <v>5082459</v>
      </c>
      <c r="L52" s="85">
        <f>+K52+850000</f>
        <v>5932459</v>
      </c>
      <c r="M52" s="86">
        <f>+M54-M51</f>
        <v>11619645</v>
      </c>
    </row>
    <row r="53" spans="1:13">
      <c r="A53" s="88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6"/>
    </row>
    <row r="54" spans="1:13" ht="15.75">
      <c r="A54" s="84" t="s">
        <v>5</v>
      </c>
      <c r="B54" s="1">
        <v>379809</v>
      </c>
      <c r="C54" s="1">
        <v>942463</v>
      </c>
      <c r="D54" s="1">
        <v>1726534</v>
      </c>
      <c r="E54" s="1">
        <v>2767641</v>
      </c>
      <c r="F54" s="1">
        <v>3620672</v>
      </c>
      <c r="G54" s="1">
        <v>5484313</v>
      </c>
      <c r="H54" s="1">
        <v>6295586</v>
      </c>
      <c r="I54" s="1">
        <v>7094091</v>
      </c>
      <c r="J54" s="1">
        <v>7947451</v>
      </c>
      <c r="K54" s="1">
        <v>9021633</v>
      </c>
      <c r="L54" s="1">
        <f>SUM(L51:L53)</f>
        <v>10276215</v>
      </c>
      <c r="M54" s="2">
        <v>16840066</v>
      </c>
    </row>
    <row r="55" spans="1:13" ht="15.75">
      <c r="A55" s="8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</row>
    <row r="56" spans="1:13" ht="15.75">
      <c r="A56" s="8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</row>
    <row r="57" spans="1:13" ht="15.75">
      <c r="A57" s="52" t="s">
        <v>30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6"/>
    </row>
    <row r="58" spans="1:13" ht="15.75">
      <c r="A58" s="84" t="s">
        <v>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6"/>
    </row>
    <row r="59" spans="1:13" ht="15.75">
      <c r="A59" s="84" t="s">
        <v>7</v>
      </c>
      <c r="B59" s="85">
        <f>45643+342+78314</f>
        <v>124299</v>
      </c>
      <c r="C59" s="85">
        <v>380653</v>
      </c>
      <c r="D59" s="85">
        <f>189619+188306+C59</f>
        <v>758578</v>
      </c>
      <c r="E59" s="85">
        <f>204746+199778+200210+D59</f>
        <v>1363312</v>
      </c>
      <c r="F59" s="85">
        <f>198836+198001+E59</f>
        <v>1760149</v>
      </c>
      <c r="G59" s="85">
        <v>2158927</v>
      </c>
      <c r="H59" s="85">
        <f>191935+184266+G59</f>
        <v>2535128</v>
      </c>
      <c r="I59" s="85">
        <f>199723+202161+H59</f>
        <v>2937012</v>
      </c>
      <c r="J59" s="85">
        <f>202554+200747+I59</f>
        <v>3340313</v>
      </c>
      <c r="K59" s="85">
        <v>3939174</v>
      </c>
      <c r="L59" s="85">
        <v>4336162</v>
      </c>
      <c r="M59" s="86">
        <f>151951+25093+346099+L59</f>
        <v>4859305</v>
      </c>
    </row>
    <row r="60" spans="1:13" ht="15.75">
      <c r="A60" s="84" t="s">
        <v>8</v>
      </c>
      <c r="B60" s="85">
        <f t="shared" ref="B60:L60" si="6">+B62-B59</f>
        <v>255510</v>
      </c>
      <c r="C60" s="85">
        <f t="shared" si="6"/>
        <v>561810</v>
      </c>
      <c r="D60" s="85">
        <f t="shared" si="6"/>
        <v>967956</v>
      </c>
      <c r="E60" s="85">
        <f t="shared" si="6"/>
        <v>1404329</v>
      </c>
      <c r="F60" s="85">
        <f t="shared" si="6"/>
        <v>1860523</v>
      </c>
      <c r="G60" s="85">
        <f t="shared" si="6"/>
        <v>3325386</v>
      </c>
      <c r="H60" s="85">
        <f t="shared" si="6"/>
        <v>3760458</v>
      </c>
      <c r="I60" s="85">
        <f t="shared" si="6"/>
        <v>4157079</v>
      </c>
      <c r="J60" s="85">
        <f t="shared" si="6"/>
        <v>4607138</v>
      </c>
      <c r="K60" s="85">
        <f t="shared" si="6"/>
        <v>5082459</v>
      </c>
      <c r="L60" s="85">
        <f t="shared" si="6"/>
        <v>5791556</v>
      </c>
      <c r="M60" s="86">
        <f>+M62-M59</f>
        <v>6767511</v>
      </c>
    </row>
    <row r="61" spans="1:13">
      <c r="A61" s="88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</row>
    <row r="62" spans="1:13" ht="16.5" thickBot="1">
      <c r="A62" s="92" t="s">
        <v>5</v>
      </c>
      <c r="B62" s="3">
        <v>379809</v>
      </c>
      <c r="C62" s="3">
        <v>942463</v>
      </c>
      <c r="D62" s="3">
        <v>1726534</v>
      </c>
      <c r="E62" s="3">
        <v>2767641</v>
      </c>
      <c r="F62" s="3">
        <v>3620672</v>
      </c>
      <c r="G62" s="3">
        <v>5484313</v>
      </c>
      <c r="H62" s="3">
        <v>6295586</v>
      </c>
      <c r="I62" s="3">
        <v>7094091</v>
      </c>
      <c r="J62" s="3">
        <v>7947451</v>
      </c>
      <c r="K62" s="3">
        <v>9021633</v>
      </c>
      <c r="L62" s="3">
        <v>10127718</v>
      </c>
      <c r="M62" s="4">
        <v>11626816</v>
      </c>
    </row>
    <row r="66" spans="1:13" ht="15.7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1:13" ht="15.7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1:13" ht="15.7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1:13" ht="15.75">
      <c r="A69" s="76"/>
      <c r="B69" s="76"/>
      <c r="C69" s="75"/>
      <c r="D69" s="75"/>
      <c r="E69" s="76"/>
      <c r="F69" s="76"/>
      <c r="G69" s="76"/>
      <c r="H69" s="76"/>
      <c r="I69" s="76"/>
      <c r="J69" s="76"/>
      <c r="K69" s="76"/>
      <c r="L69" s="76"/>
      <c r="M69" s="76"/>
    </row>
    <row r="70" spans="1:13" ht="15.75">
      <c r="A70" s="76"/>
      <c r="B70" s="76"/>
      <c r="C70" s="75"/>
      <c r="D70" s="75"/>
      <c r="E70" s="76"/>
      <c r="F70" s="76"/>
      <c r="G70" s="76"/>
      <c r="H70" s="76"/>
      <c r="I70" s="76"/>
      <c r="J70" s="76"/>
      <c r="K70" s="76"/>
      <c r="L70" s="76"/>
      <c r="M70" s="76"/>
    </row>
    <row r="71" spans="1:13" ht="15.7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ht="15.7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9" spans="1:13">
      <c r="I79" s="69" t="s">
        <v>24</v>
      </c>
    </row>
    <row r="80" spans="1:13" ht="15.75">
      <c r="A80" s="75"/>
      <c r="B80" s="97"/>
      <c r="C80" s="97"/>
      <c r="D80" s="97"/>
      <c r="E80" s="97"/>
      <c r="F80" s="97"/>
      <c r="G80" s="97"/>
      <c r="H80" s="97"/>
    </row>
    <row r="81" spans="1:8" ht="15.75">
      <c r="A81" s="75"/>
      <c r="B81" s="97"/>
      <c r="C81" s="97"/>
      <c r="D81" s="97"/>
      <c r="E81" s="97"/>
      <c r="F81" s="97"/>
      <c r="G81" s="97"/>
      <c r="H81" s="97"/>
    </row>
    <row r="82" spans="1:8" ht="15.75">
      <c r="A82" s="75"/>
      <c r="B82" s="97"/>
      <c r="C82" s="97"/>
      <c r="D82" s="97"/>
      <c r="E82" s="97"/>
      <c r="F82" s="97"/>
      <c r="G82" s="97"/>
      <c r="H82" s="97"/>
    </row>
    <row r="83" spans="1:8" ht="15.75">
      <c r="A83" s="75"/>
      <c r="B83" s="97"/>
      <c r="C83" s="97"/>
      <c r="D83" s="97"/>
      <c r="E83" s="97"/>
      <c r="F83" s="97"/>
      <c r="G83" s="97"/>
      <c r="H83" s="97"/>
    </row>
    <row r="84" spans="1:8" ht="15.75">
      <c r="A84" s="75"/>
      <c r="B84" s="97"/>
      <c r="C84" s="97"/>
      <c r="D84" s="97"/>
      <c r="E84" s="97"/>
      <c r="F84" s="97"/>
      <c r="G84" s="97"/>
      <c r="H84" s="97"/>
    </row>
    <row r="85" spans="1:8" ht="15.75">
      <c r="A85" s="75"/>
      <c r="B85" s="97"/>
      <c r="C85" s="97"/>
      <c r="D85" s="97"/>
      <c r="E85" s="97"/>
      <c r="F85" s="97"/>
      <c r="G85" s="97"/>
      <c r="H85" s="97"/>
    </row>
    <row r="86" spans="1:8" ht="15.75">
      <c r="A86" s="75"/>
      <c r="B86" s="97"/>
      <c r="C86" s="97"/>
      <c r="D86" s="97"/>
      <c r="E86" s="97"/>
      <c r="F86" s="97"/>
      <c r="G86" s="97"/>
      <c r="H86" s="97"/>
    </row>
    <row r="87" spans="1:8" ht="15.75">
      <c r="A87" s="75"/>
      <c r="B87" s="97"/>
      <c r="C87" s="97"/>
      <c r="D87" s="97"/>
      <c r="E87" s="97"/>
      <c r="F87" s="97"/>
      <c r="G87" s="97"/>
      <c r="H87" s="97"/>
    </row>
    <row r="88" spans="1:8" ht="15.75">
      <c r="A88" s="75"/>
      <c r="B88" s="97"/>
      <c r="C88" s="97"/>
      <c r="D88" s="97"/>
      <c r="E88" s="97"/>
      <c r="F88" s="97"/>
      <c r="G88" s="97"/>
      <c r="H88" s="97"/>
    </row>
    <row r="89" spans="1:8" ht="15.75">
      <c r="A89" s="75"/>
      <c r="B89" s="97"/>
      <c r="C89" s="97"/>
      <c r="D89" s="97"/>
      <c r="E89" s="97"/>
      <c r="F89" s="97"/>
      <c r="G89" s="97"/>
      <c r="H89" s="97"/>
    </row>
    <row r="90" spans="1:8" ht="15.75">
      <c r="A90" s="75"/>
      <c r="B90" s="97"/>
      <c r="C90" s="97"/>
      <c r="D90" s="97"/>
      <c r="E90" s="97"/>
      <c r="F90" s="97"/>
      <c r="G90" s="97"/>
      <c r="H90" s="97"/>
    </row>
    <row r="91" spans="1:8" ht="15.75">
      <c r="A91" s="75"/>
      <c r="B91" s="97"/>
      <c r="C91" s="97"/>
      <c r="D91" s="97"/>
      <c r="E91" s="97"/>
      <c r="F91" s="97"/>
      <c r="G91" s="97"/>
      <c r="H91" s="97"/>
    </row>
    <row r="92" spans="1:8" ht="15.75">
      <c r="A92" s="75"/>
      <c r="B92" s="97"/>
      <c r="C92" s="97"/>
      <c r="D92" s="97"/>
      <c r="E92" s="97"/>
      <c r="F92" s="97"/>
      <c r="G92" s="97"/>
      <c r="H92" s="97"/>
    </row>
    <row r="114" spans="1:8" ht="15.75">
      <c r="A114" s="75"/>
      <c r="B114" s="75"/>
      <c r="C114" s="76"/>
      <c r="D114" s="76"/>
      <c r="E114" s="76"/>
    </row>
    <row r="116" spans="1:8" ht="15.75">
      <c r="A116" s="75"/>
      <c r="B116" s="75"/>
      <c r="C116" s="75"/>
      <c r="D116" s="75"/>
      <c r="E116" s="75"/>
      <c r="F116" s="75"/>
      <c r="G116" s="76"/>
      <c r="H116" s="76"/>
    </row>
    <row r="119" spans="1:8" ht="15.75">
      <c r="A119" s="75"/>
      <c r="B119" s="75"/>
      <c r="C119" s="75"/>
      <c r="D119" s="76"/>
    </row>
    <row r="121" spans="1:8" ht="15.75">
      <c r="A121" s="75"/>
      <c r="C121" s="76" t="s">
        <v>9</v>
      </c>
      <c r="D121" s="76"/>
      <c r="E121" s="76"/>
      <c r="F121" s="98">
        <v>7258638</v>
      </c>
    </row>
  </sheetData>
  <phoneticPr fontId="13" type="noConversion"/>
  <printOptions horizontalCentered="1" verticalCentered="1"/>
  <pageMargins left="0.5" right="0.5" top="0.5" bottom="0.5" header="0.5" footer="0.5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05"/>
  <sheetViews>
    <sheetView defaultGridColor="0" topLeftCell="A73" colorId="22" zoomScale="87" workbookViewId="0">
      <selection activeCell="O49" sqref="O49"/>
    </sheetView>
  </sheetViews>
  <sheetFormatPr defaultColWidth="12.5703125" defaultRowHeight="15"/>
  <cols>
    <col min="1" max="1" width="26.7109375" style="40" customWidth="1"/>
    <col min="2" max="2" width="13.7109375" style="40" customWidth="1"/>
    <col min="3" max="3" width="15.28515625" style="40" customWidth="1"/>
    <col min="4" max="4" width="15.140625" style="40" customWidth="1"/>
    <col min="5" max="13" width="14.5703125" style="40" customWidth="1"/>
    <col min="14" max="16384" width="12.5703125" style="40"/>
  </cols>
  <sheetData>
    <row r="1" spans="1:36" ht="20.25">
      <c r="A1" s="37" t="s">
        <v>34</v>
      </c>
      <c r="B1" s="38"/>
      <c r="C1" s="38"/>
      <c r="D1" s="38"/>
      <c r="E1" s="39"/>
      <c r="F1" s="39"/>
      <c r="G1" s="39"/>
      <c r="H1" s="39"/>
      <c r="I1" s="39"/>
      <c r="J1" s="39"/>
      <c r="K1" s="39"/>
      <c r="L1" s="39"/>
      <c r="M1" s="39"/>
    </row>
    <row r="2" spans="1:36" ht="18.75">
      <c r="A2" s="41" t="s">
        <v>28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</row>
    <row r="3" spans="1:3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36" ht="18.75" thickBot="1">
      <c r="A5" s="42" t="s">
        <v>22</v>
      </c>
      <c r="B5" s="43"/>
      <c r="C5" s="43"/>
      <c r="D5" s="44"/>
      <c r="E5" s="44"/>
      <c r="F5" s="44"/>
      <c r="G5" s="44"/>
      <c r="H5" s="44"/>
      <c r="I5" s="45"/>
      <c r="J5" s="45"/>
      <c r="K5" s="45"/>
      <c r="L5" s="45"/>
      <c r="M5" s="45"/>
    </row>
    <row r="6" spans="1:36" ht="15.75">
      <c r="A6" s="46"/>
      <c r="B6" s="47" t="s">
        <v>10</v>
      </c>
      <c r="C6" s="47" t="s">
        <v>11</v>
      </c>
      <c r="D6" s="47" t="s">
        <v>12</v>
      </c>
      <c r="E6" s="47" t="s">
        <v>13</v>
      </c>
      <c r="F6" s="47" t="s">
        <v>14</v>
      </c>
      <c r="G6" s="47" t="s">
        <v>15</v>
      </c>
      <c r="H6" s="47" t="s">
        <v>16</v>
      </c>
      <c r="I6" s="47" t="s">
        <v>17</v>
      </c>
      <c r="J6" s="47" t="s">
        <v>18</v>
      </c>
      <c r="K6" s="47" t="s">
        <v>19</v>
      </c>
      <c r="L6" s="47" t="s">
        <v>20</v>
      </c>
      <c r="M6" s="48" t="s">
        <v>21</v>
      </c>
    </row>
    <row r="7" spans="1:36" ht="15.7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36" ht="15.75">
      <c r="A8" s="83" t="s">
        <v>33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36" ht="15.75">
      <c r="A9" s="53" t="s">
        <v>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36" ht="15.75">
      <c r="A10" s="53" t="s">
        <v>2</v>
      </c>
      <c r="B10" s="56">
        <f>+B20</f>
        <v>15290</v>
      </c>
      <c r="C10" s="56">
        <f>+'General 04-05 (Template)'!C31*'General 05-06 (Original)'!$M$10</f>
        <v>265449.20067221386</v>
      </c>
      <c r="D10" s="56">
        <f>+'General 04-05 (Template)'!D31*'General 05-06 (Original)'!$M$10</f>
        <v>984033.21990624</v>
      </c>
      <c r="E10" s="56">
        <f>+'General 04-05 (Template)'!E31*'General 05-06 (Original)'!$M$10</f>
        <v>1073198.0853034174</v>
      </c>
      <c r="F10" s="56">
        <f>+'General 04-05 (Template)'!F31*'General 05-06 (Original)'!$M$10</f>
        <v>1162065.98802968</v>
      </c>
      <c r="G10" s="56">
        <f>+'General 04-05 (Template)'!G31*'General 05-06 (Original)'!$M$10</f>
        <v>1246541.969149255</v>
      </c>
      <c r="H10" s="56">
        <f>+'General 04-05 (Template)'!H31*'General 05-06 (Original)'!$M$10</f>
        <v>1347264.4133035811</v>
      </c>
      <c r="I10" s="56">
        <f>+'General 04-05 (Template)'!I31*'General 05-06 (Original)'!$M$10</f>
        <v>1396001.7184592681</v>
      </c>
      <c r="J10" s="56">
        <f>+'General 04-05 (Template)'!J31*'General 05-06 (Original)'!$M$10</f>
        <v>1457152.0632591951</v>
      </c>
      <c r="K10" s="56">
        <f>+'General 04-05 (Template)'!K31*'General 05-06 (Original)'!$M$10</f>
        <v>1567763.8853421274</v>
      </c>
      <c r="L10" s="56">
        <f>+'General 04-05 (Template)'!L31*'General 05-06 (Original)'!$M$10</f>
        <v>1607548.5474504447</v>
      </c>
      <c r="M10" s="55">
        <v>1679649</v>
      </c>
    </row>
    <row r="11" spans="1:36" ht="15.75">
      <c r="A11" s="53" t="s">
        <v>27</v>
      </c>
      <c r="B11" s="54">
        <f>+'General 04-05 (Template)'!B33*'General 05-06 (Original)'!$M$11</f>
        <v>0</v>
      </c>
      <c r="C11" s="54">
        <f>+'General 04-05 (Template)'!C33*'General 05-06 (Original)'!$M$11</f>
        <v>0</v>
      </c>
      <c r="D11" s="54">
        <f>+'General 04-05 (Template)'!D33*'General 05-06 (Original)'!$M$11</f>
        <v>0</v>
      </c>
      <c r="E11" s="54">
        <f>+'General 04-05 (Template)'!E33*'General 05-06 (Original)'!$M$11</f>
        <v>201999.15144212707</v>
      </c>
      <c r="F11" s="54">
        <f>+'General 04-05 (Template)'!F33*'General 05-06 (Original)'!$M$11</f>
        <v>595061.28382899542</v>
      </c>
      <c r="G11" s="54">
        <f>+'General 04-05 (Template)'!G33*'General 05-06 (Original)'!$M$11</f>
        <v>839782.32748836523</v>
      </c>
      <c r="H11" s="54">
        <f>+'General 04-05 (Template)'!H33*'General 05-06 (Original)'!$M$11</f>
        <v>1051019.5014507454</v>
      </c>
      <c r="I11" s="54">
        <f>+'General 04-05 (Template)'!I33*'General 05-06 (Original)'!$M$11</f>
        <v>1301934.5794760964</v>
      </c>
      <c r="J11" s="54">
        <f>+'General 04-05 (Template)'!J33*'General 05-06 (Original)'!$M$11</f>
        <v>1518750.1634480671</v>
      </c>
      <c r="K11" s="54">
        <f>+'General 04-05 (Template)'!K33*'General 05-06 (Original)'!$M$11</f>
        <v>1754246.5942266299</v>
      </c>
      <c r="L11" s="54">
        <f>+'General 04-05 (Template)'!L33*'General 05-06 (Original)'!$M$11</f>
        <v>1974948.5355217159</v>
      </c>
      <c r="M11" s="55">
        <v>2206622</v>
      </c>
    </row>
    <row r="12" spans="1:36" ht="15.75">
      <c r="A12" s="53" t="s">
        <v>4</v>
      </c>
      <c r="B12" s="54">
        <f>+B22</f>
        <v>3383</v>
      </c>
      <c r="C12" s="54">
        <f>+B12</f>
        <v>3383</v>
      </c>
      <c r="D12" s="54">
        <f>+'General 04-05 (Template)'!D35*'General 05-06 (Original)'!$M$12</f>
        <v>3755.3573545626959</v>
      </c>
      <c r="E12" s="54">
        <f>+'General 04-05 (Template)'!E35*'General 05-06 (Original)'!$M$12</f>
        <v>3755.3573545626959</v>
      </c>
      <c r="F12" s="54">
        <f>+'General 04-05 (Template)'!F35*'General 05-06 (Original)'!$M$12</f>
        <v>123111.23529528515</v>
      </c>
      <c r="G12" s="54">
        <f>+'General 04-05 (Template)'!G35*'General 05-06 (Original)'!$M$12</f>
        <v>123111.23529528515</v>
      </c>
      <c r="H12" s="54">
        <f>+'General 04-05 (Template)'!H35*'General 05-06 (Original)'!$M$12</f>
        <v>223961.69261235831</v>
      </c>
      <c r="I12" s="54">
        <f>+'General 04-05 (Template)'!I35*'General 05-06 (Original)'!$M$12</f>
        <v>227438.3890288008</v>
      </c>
      <c r="J12" s="54">
        <f>+'General 04-05 (Template)'!J35*'General 05-06 (Original)'!$M$12</f>
        <v>341302.74984342605</v>
      </c>
      <c r="K12" s="54">
        <f>+'General 04-05 (Template)'!K35*'General 05-06 (Original)'!$M$12</f>
        <v>380173.76227451157</v>
      </c>
      <c r="L12" s="54">
        <f>+'General 04-05 (Template)'!L35*'General 05-06 (Original)'!$M$12</f>
        <v>390478.38115379523</v>
      </c>
      <c r="M12" s="55">
        <v>661579</v>
      </c>
    </row>
    <row r="13" spans="1:36" ht="15.75">
      <c r="A13" s="53" t="s">
        <v>25</v>
      </c>
      <c r="B13" s="54">
        <f>+'General 04-05 (Template)'!B37*'General 05-06 (Original)'!$M$13</f>
        <v>0</v>
      </c>
      <c r="C13" s="54">
        <f>+'General 04-05 (Template)'!C37*'General 05-06 (Original)'!$M$13</f>
        <v>0</v>
      </c>
      <c r="D13" s="54">
        <f>+'General 04-05 (Template)'!D37*'General 05-06 (Original)'!$M$13</f>
        <v>0</v>
      </c>
      <c r="E13" s="54">
        <f>+'General 04-05 (Template)'!E37*'General 05-06 (Original)'!$M$13</f>
        <v>3991.1438628705237</v>
      </c>
      <c r="F13" s="54">
        <f>+'General 04-05 (Template)'!F37*'General 05-06 (Original)'!$M$13</f>
        <v>51968.905786756528</v>
      </c>
      <c r="G13" s="54">
        <f>+'General 04-05 (Template)'!G37*'General 05-06 (Original)'!$M$13</f>
        <v>2866172.7912334665</v>
      </c>
      <c r="H13" s="54">
        <f>+'General 04-05 (Template)'!H37*'General 05-06 (Original)'!$M$13</f>
        <v>2900399.2781581269</v>
      </c>
      <c r="I13" s="54">
        <f>+'General 04-05 (Template)'!I37*'General 05-06 (Original)'!$M$13</f>
        <v>2918380.7072761618</v>
      </c>
      <c r="J13" s="54">
        <f>+'General 04-05 (Template)'!J37*'General 05-06 (Original)'!$M$13</f>
        <v>2814203.88544671</v>
      </c>
      <c r="K13" s="54">
        <f>+'General 04-05 (Template)'!K37*'General 05-06 (Original)'!$M$13</f>
        <v>3223473.4791835877</v>
      </c>
      <c r="L13" s="54">
        <f>+'General 04-05 (Template)'!L37*'General 05-06 (Original)'!$M$13</f>
        <v>3223244.2912669335</v>
      </c>
      <c r="M13" s="55">
        <v>3277325</v>
      </c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36" ht="15.75">
      <c r="A15" s="53" t="s">
        <v>5</v>
      </c>
      <c r="B15" s="1">
        <f t="shared" ref="B15:M15" si="0">SUM(B10:B14)</f>
        <v>18673</v>
      </c>
      <c r="C15" s="1">
        <f t="shared" si="0"/>
        <v>268832.20067221386</v>
      </c>
      <c r="D15" s="1">
        <f t="shared" si="0"/>
        <v>987788.57726080273</v>
      </c>
      <c r="E15" s="1">
        <f t="shared" si="0"/>
        <v>1282943.7379629777</v>
      </c>
      <c r="F15" s="1">
        <f t="shared" si="0"/>
        <v>1932207.4129407171</v>
      </c>
      <c r="G15" s="1">
        <f t="shared" si="0"/>
        <v>5075608.3231663723</v>
      </c>
      <c r="H15" s="1">
        <f t="shared" si="0"/>
        <v>5522644.8855248112</v>
      </c>
      <c r="I15" s="1">
        <f t="shared" si="0"/>
        <v>5843755.3942403272</v>
      </c>
      <c r="J15" s="1">
        <f t="shared" si="0"/>
        <v>6131408.8619973976</v>
      </c>
      <c r="K15" s="1">
        <f t="shared" si="0"/>
        <v>6925657.7210268565</v>
      </c>
      <c r="L15" s="1">
        <f t="shared" si="0"/>
        <v>7196219.7553928895</v>
      </c>
      <c r="M15" s="2">
        <f t="shared" si="0"/>
        <v>7825175</v>
      </c>
    </row>
    <row r="16" spans="1:36" ht="15.75">
      <c r="A16" s="5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5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35</v>
      </c>
      <c r="B18" s="56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1:16" ht="15.75">
      <c r="A19" s="53" t="s">
        <v>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</row>
    <row r="20" spans="1:16" ht="15.75">
      <c r="A20" s="53" t="s">
        <v>2</v>
      </c>
      <c r="B20" s="56">
        <v>15290</v>
      </c>
      <c r="C20" s="56">
        <v>290901</v>
      </c>
      <c r="D20" s="56">
        <v>950719</v>
      </c>
      <c r="E20" s="58">
        <v>1096838</v>
      </c>
      <c r="F20" s="56">
        <v>1157864</v>
      </c>
      <c r="G20" s="56"/>
      <c r="H20" s="56"/>
      <c r="I20" s="56"/>
      <c r="J20" s="56"/>
      <c r="K20" s="56"/>
      <c r="L20" s="56"/>
      <c r="M20" s="59"/>
      <c r="N20" s="45"/>
      <c r="O20" s="45"/>
      <c r="P20" s="45"/>
    </row>
    <row r="21" spans="1:16" ht="15.75">
      <c r="A21" s="53" t="s">
        <v>3</v>
      </c>
      <c r="B21" s="54">
        <v>0</v>
      </c>
      <c r="C21" s="54">
        <v>36562</v>
      </c>
      <c r="D21" s="54">
        <v>45562</v>
      </c>
      <c r="E21" s="60">
        <v>253495</v>
      </c>
      <c r="F21" s="54">
        <v>602137</v>
      </c>
      <c r="G21" s="54"/>
      <c r="H21" s="54"/>
      <c r="I21" s="54"/>
      <c r="J21" s="54"/>
      <c r="K21" s="54"/>
      <c r="L21" s="54"/>
      <c r="M21" s="55"/>
    </row>
    <row r="22" spans="1:16" ht="15.75">
      <c r="A22" s="53" t="s">
        <v>4</v>
      </c>
      <c r="B22" s="54">
        <v>3383</v>
      </c>
      <c r="C22" s="54">
        <v>1296</v>
      </c>
      <c r="D22" s="54">
        <v>1726</v>
      </c>
      <c r="E22" s="60">
        <v>1726</v>
      </c>
      <c r="F22" s="54">
        <v>41780</v>
      </c>
      <c r="G22" s="54"/>
      <c r="H22" s="54"/>
      <c r="I22" s="54"/>
      <c r="J22" s="54"/>
      <c r="K22" s="54"/>
      <c r="L22" s="54"/>
      <c r="M22" s="55"/>
    </row>
    <row r="23" spans="1:16" ht="15.75">
      <c r="A23" s="53" t="s">
        <v>25</v>
      </c>
      <c r="B23" s="54">
        <v>0</v>
      </c>
      <c r="C23" s="60">
        <v>0</v>
      </c>
      <c r="D23" s="60">
        <v>0</v>
      </c>
      <c r="E23" s="54">
        <v>0</v>
      </c>
      <c r="F23" s="54"/>
      <c r="G23" s="54"/>
      <c r="H23" s="54"/>
      <c r="I23" s="54"/>
      <c r="J23" s="54"/>
      <c r="K23" s="54"/>
      <c r="L23" s="54"/>
      <c r="M23" s="55"/>
    </row>
    <row r="24" spans="1:16">
      <c r="A24" s="57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6" ht="16.5" thickBot="1">
      <c r="A25" s="61" t="s">
        <v>5</v>
      </c>
      <c r="B25" s="3">
        <f t="shared" ref="B25:M25" si="1">SUM(B20:B24)</f>
        <v>18673</v>
      </c>
      <c r="C25" s="3">
        <f t="shared" si="1"/>
        <v>328759</v>
      </c>
      <c r="D25" s="3">
        <f t="shared" si="1"/>
        <v>998007</v>
      </c>
      <c r="E25" s="3">
        <f t="shared" si="1"/>
        <v>1352059</v>
      </c>
      <c r="F25" s="3">
        <f t="shared" si="1"/>
        <v>1801781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4">
        <f t="shared" si="1"/>
        <v>0</v>
      </c>
    </row>
    <row r="26" spans="1:1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62"/>
    </row>
    <row r="27" spans="1:16" ht="15.75">
      <c r="A27" s="56"/>
      <c r="B27" s="50"/>
      <c r="C27" s="5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62"/>
    </row>
    <row r="28" spans="1:16" ht="18.75" thickBot="1">
      <c r="A28" s="63" t="s">
        <v>23</v>
      </c>
      <c r="B28" s="56"/>
      <c r="C28" s="56"/>
      <c r="D28" s="56"/>
      <c r="E28" s="56"/>
      <c r="F28" s="56"/>
      <c r="G28" s="56"/>
      <c r="H28" s="56"/>
      <c r="I28" s="56"/>
      <c r="J28" s="50"/>
      <c r="K28" s="54"/>
      <c r="L28" s="54"/>
      <c r="M28" s="54"/>
      <c r="N28" s="62"/>
    </row>
    <row r="29" spans="1:16" ht="15.75">
      <c r="A29" s="46"/>
      <c r="B29" s="47" t="s">
        <v>10</v>
      </c>
      <c r="C29" s="47" t="s">
        <v>11</v>
      </c>
      <c r="D29" s="47" t="s">
        <v>12</v>
      </c>
      <c r="E29" s="47" t="s">
        <v>13</v>
      </c>
      <c r="F29" s="47" t="s">
        <v>14</v>
      </c>
      <c r="G29" s="47" t="s">
        <v>15</v>
      </c>
      <c r="H29" s="47" t="s">
        <v>16</v>
      </c>
      <c r="I29" s="47" t="s">
        <v>17</v>
      </c>
      <c r="J29" s="47" t="s">
        <v>18</v>
      </c>
      <c r="K29" s="47" t="s">
        <v>19</v>
      </c>
      <c r="L29" s="47" t="s">
        <v>20</v>
      </c>
      <c r="M29" s="48" t="s">
        <v>21</v>
      </c>
    </row>
    <row r="30" spans="1:16" ht="15.75">
      <c r="A30" s="4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51"/>
    </row>
    <row r="31" spans="1:16" ht="15.75">
      <c r="A31" s="83" t="s">
        <v>33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51"/>
    </row>
    <row r="32" spans="1:16" ht="15.75">
      <c r="A32" s="53" t="s">
        <v>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55"/>
    </row>
    <row r="33" spans="1:14" ht="15.75">
      <c r="A33" s="53" t="s">
        <v>7</v>
      </c>
      <c r="B33" s="99">
        <v>214778</v>
      </c>
      <c r="C33" s="99">
        <v>457112</v>
      </c>
      <c r="D33" s="99">
        <v>820612</v>
      </c>
      <c r="E33" s="99">
        <v>1093664</v>
      </c>
      <c r="F33" s="99">
        <v>1366717</v>
      </c>
      <c r="G33" s="99">
        <v>1639769</v>
      </c>
      <c r="H33" s="99">
        <v>1912821</v>
      </c>
      <c r="I33" s="99">
        <v>2185873</v>
      </c>
      <c r="J33" s="99">
        <v>2595451</v>
      </c>
      <c r="K33" s="99">
        <v>2868503</v>
      </c>
      <c r="L33" s="99">
        <v>3141556</v>
      </c>
      <c r="M33" s="55">
        <v>3413152</v>
      </c>
    </row>
    <row r="34" spans="1:14" ht="15.75">
      <c r="A34" s="53" t="s">
        <v>8</v>
      </c>
      <c r="B34" s="99">
        <f>+B42</f>
        <v>259091</v>
      </c>
      <c r="C34" s="99">
        <f>+'General 04-05 (Template)'!C66*'General 05-06 (Original)'!$M$34</f>
        <v>681842.31669598876</v>
      </c>
      <c r="D34" s="99">
        <f>+'General 04-05 (Template)'!D66*'General 05-06 (Original)'!$M$34</f>
        <v>1102352.4302108067</v>
      </c>
      <c r="E34" s="99">
        <f>+'General 04-05 (Template)'!E66*'General 05-06 (Original)'!$M$34</f>
        <v>1451438.9769167698</v>
      </c>
      <c r="F34" s="99">
        <f>+'General 04-05 (Template)'!F66*'General 05-06 (Original)'!$M$34</f>
        <v>1802746.1455923184</v>
      </c>
      <c r="G34" s="99">
        <f>+'General 04-05 (Template)'!G66*'General 05-06 (Original)'!$M$34</f>
        <v>2119784.8214987381</v>
      </c>
      <c r="H34" s="99">
        <f>+'General 04-05 (Template)'!H66*'General 05-06 (Original)'!$M$34</f>
        <v>2424207.2280177916</v>
      </c>
      <c r="I34" s="99">
        <f>+'General 04-05 (Template)'!I66*'General 05-06 (Original)'!$M$34</f>
        <v>2768774.1157815638</v>
      </c>
      <c r="J34" s="99">
        <f>+'General 04-05 (Template)'!J66*'General 05-06 (Original)'!$M$34</f>
        <v>3169157.7118545412</v>
      </c>
      <c r="K34" s="99">
        <f>+'General 04-05 (Template)'!K66*'General 05-06 (Original)'!$M$34</f>
        <v>3683425.439693484</v>
      </c>
      <c r="L34" s="99">
        <f>+'General 04-05 (Template)'!L66*'General 05-06 (Original)'!$M$34</f>
        <v>4160343.2151634553</v>
      </c>
      <c r="M34" s="55">
        <f>M36-M33</f>
        <v>4737464</v>
      </c>
    </row>
    <row r="35" spans="1:14" ht="15.75">
      <c r="A35" s="53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55"/>
    </row>
    <row r="36" spans="1:14" ht="15.75">
      <c r="A36" s="53" t="s">
        <v>5</v>
      </c>
      <c r="B36" s="100">
        <f>+B33+B34</f>
        <v>473869</v>
      </c>
      <c r="C36" s="100">
        <f t="shared" ref="C36:L36" si="2">+C33+C34</f>
        <v>1138954.3166959886</v>
      </c>
      <c r="D36" s="100">
        <f t="shared" si="2"/>
        <v>1922964.4302108067</v>
      </c>
      <c r="E36" s="100">
        <f t="shared" si="2"/>
        <v>2545102.9769167695</v>
      </c>
      <c r="F36" s="100">
        <f t="shared" si="2"/>
        <v>3169463.1455923184</v>
      </c>
      <c r="G36" s="100">
        <f t="shared" si="2"/>
        <v>3759553.8214987381</v>
      </c>
      <c r="H36" s="100">
        <f t="shared" si="2"/>
        <v>4337028.2280177921</v>
      </c>
      <c r="I36" s="100">
        <f t="shared" si="2"/>
        <v>4954647.1157815643</v>
      </c>
      <c r="J36" s="100">
        <f t="shared" si="2"/>
        <v>5764608.7118545417</v>
      </c>
      <c r="K36" s="100">
        <f t="shared" si="2"/>
        <v>6551928.4396934845</v>
      </c>
      <c r="L36" s="100">
        <f t="shared" si="2"/>
        <v>7301899.2151634553</v>
      </c>
      <c r="M36" s="2">
        <v>8150616</v>
      </c>
      <c r="N36" s="44"/>
    </row>
    <row r="37" spans="1:14" ht="15.75">
      <c r="A37" s="57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55"/>
    </row>
    <row r="38" spans="1:14" ht="15.75">
      <c r="A38" s="53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"/>
    </row>
    <row r="39" spans="1:14" ht="15.75">
      <c r="A39" s="52" t="s">
        <v>35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2"/>
    </row>
    <row r="40" spans="1:14" ht="15.75">
      <c r="A40" s="53" t="s">
        <v>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2"/>
    </row>
    <row r="41" spans="1:14" ht="15.75">
      <c r="A41" s="53" t="s">
        <v>7</v>
      </c>
      <c r="B41" s="99">
        <f>+B33</f>
        <v>214778</v>
      </c>
      <c r="C41" s="99">
        <f>119963+122697+B41</f>
        <v>457438</v>
      </c>
      <c r="D41" s="99">
        <f>122061+120678+120181-165+C41</f>
        <v>820193</v>
      </c>
      <c r="E41" s="99">
        <f>120037+765+120821-48+D41</f>
        <v>1061768</v>
      </c>
      <c r="F41" s="99">
        <f>121491+122340+E41</f>
        <v>1305599</v>
      </c>
      <c r="G41" s="99"/>
      <c r="H41" s="99"/>
      <c r="I41" s="99"/>
      <c r="J41" s="99"/>
      <c r="K41" s="99"/>
      <c r="L41" s="99"/>
      <c r="M41" s="51"/>
    </row>
    <row r="42" spans="1:14" ht="15.75">
      <c r="A42" s="53" t="s">
        <v>8</v>
      </c>
      <c r="B42" s="99">
        <f>+B44-B41</f>
        <v>259091</v>
      </c>
      <c r="C42" s="99">
        <f>+C44-C41</f>
        <v>619490</v>
      </c>
      <c r="D42" s="99">
        <f>+D44-D41</f>
        <v>976673</v>
      </c>
      <c r="E42" s="99">
        <f>+E44-E41</f>
        <v>1292015</v>
      </c>
      <c r="F42" s="99">
        <f>+F44-F41</f>
        <v>1561062</v>
      </c>
      <c r="G42" s="99"/>
      <c r="H42" s="99"/>
      <c r="I42" s="99"/>
      <c r="J42" s="99"/>
      <c r="K42" s="99"/>
      <c r="L42" s="99"/>
      <c r="M42" s="55"/>
    </row>
    <row r="43" spans="1:14" ht="15.75">
      <c r="A43" s="53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59"/>
      <c r="N43" s="45"/>
    </row>
    <row r="44" spans="1:14" ht="16.5" thickBot="1">
      <c r="A44" s="61" t="s">
        <v>5</v>
      </c>
      <c r="B44" s="3">
        <v>473869</v>
      </c>
      <c r="C44" s="3">
        <v>1076928</v>
      </c>
      <c r="D44" s="3">
        <v>1796866</v>
      </c>
      <c r="E44" s="3">
        <v>2353783</v>
      </c>
      <c r="F44" s="3">
        <v>2866661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4">
        <v>0</v>
      </c>
    </row>
    <row r="45" spans="1:14">
      <c r="B45" s="54"/>
      <c r="C45" s="54"/>
    </row>
    <row r="46" spans="1:14" ht="15.75">
      <c r="A46" s="45"/>
      <c r="B46" s="6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ht="15.7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ht="15.75">
      <c r="A48" s="45"/>
      <c r="B48" s="45"/>
      <c r="C48" s="44"/>
      <c r="D48" s="44"/>
      <c r="E48" s="45"/>
      <c r="F48" s="45"/>
      <c r="G48" s="45"/>
      <c r="H48" s="45"/>
      <c r="I48" s="45"/>
      <c r="J48" s="45"/>
      <c r="K48" s="45"/>
      <c r="L48" s="45"/>
      <c r="M48" s="45"/>
    </row>
    <row r="49" spans="1:13" ht="15.75">
      <c r="A49" s="45"/>
      <c r="B49" s="45"/>
      <c r="C49" s="44"/>
      <c r="D49" s="44"/>
      <c r="E49" s="45"/>
      <c r="F49" s="45"/>
      <c r="G49" s="45"/>
      <c r="H49" s="45"/>
      <c r="I49" s="45"/>
      <c r="J49" s="45"/>
      <c r="K49" s="45"/>
      <c r="L49" s="45"/>
      <c r="M49" s="45"/>
    </row>
    <row r="50" spans="1:13" ht="15.75">
      <c r="A50" s="45"/>
      <c r="B50" s="45"/>
      <c r="C50" s="44"/>
      <c r="D50" s="44"/>
      <c r="E50" s="45"/>
      <c r="F50" s="45"/>
      <c r="G50" s="45"/>
      <c r="H50" s="45"/>
      <c r="I50" s="45"/>
      <c r="J50" s="45"/>
      <c r="K50" s="45"/>
      <c r="L50" s="45"/>
      <c r="M50" s="45"/>
    </row>
    <row r="51" spans="1:13" ht="15.7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ht="15.7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60" spans="1:13" ht="15.75">
      <c r="A60" s="44"/>
      <c r="B60" s="65"/>
      <c r="C60" s="65"/>
      <c r="D60" s="65"/>
      <c r="E60" s="65"/>
      <c r="F60" s="65"/>
      <c r="G60" s="65"/>
      <c r="H60" s="65"/>
    </row>
    <row r="61" spans="1:13" ht="15.75">
      <c r="A61" s="44"/>
      <c r="B61" s="65"/>
      <c r="C61" s="65"/>
      <c r="D61" s="65"/>
      <c r="E61" s="65"/>
      <c r="F61" s="65"/>
      <c r="G61" s="65"/>
      <c r="H61" s="65"/>
    </row>
    <row r="62" spans="1:13" ht="15.75">
      <c r="A62" s="44"/>
      <c r="B62" s="65"/>
      <c r="C62" s="65"/>
      <c r="D62" s="65"/>
      <c r="E62" s="65"/>
      <c r="F62" s="65"/>
      <c r="G62" s="65"/>
      <c r="H62" s="65"/>
    </row>
    <row r="63" spans="1:13" ht="15.75">
      <c r="A63" s="44"/>
      <c r="B63" s="65"/>
      <c r="C63" s="65"/>
      <c r="D63" s="65"/>
      <c r="E63" s="65"/>
      <c r="F63" s="65"/>
      <c r="G63" s="65"/>
      <c r="H63" s="65"/>
    </row>
    <row r="64" spans="1:13" ht="15.75">
      <c r="A64" s="44"/>
      <c r="B64" s="65"/>
      <c r="C64" s="65"/>
      <c r="D64" s="65"/>
      <c r="E64" s="65"/>
      <c r="F64" s="65"/>
      <c r="G64" s="65"/>
      <c r="H64" s="65"/>
    </row>
    <row r="65" spans="1:8" ht="15.75">
      <c r="A65" s="44"/>
      <c r="B65" s="65"/>
      <c r="C65" s="65"/>
      <c r="D65" s="65"/>
      <c r="E65" s="65"/>
      <c r="F65" s="65"/>
      <c r="G65" s="65"/>
      <c r="H65" s="65"/>
    </row>
    <row r="66" spans="1:8" ht="15.75">
      <c r="A66" s="44"/>
      <c r="B66" s="65"/>
      <c r="C66" s="65"/>
      <c r="D66" s="65"/>
      <c r="E66" s="65"/>
      <c r="F66" s="65"/>
      <c r="G66" s="65"/>
      <c r="H66" s="65"/>
    </row>
    <row r="67" spans="1:8" ht="15.75">
      <c r="A67" s="44"/>
      <c r="B67" s="65"/>
      <c r="C67" s="65"/>
      <c r="D67" s="65"/>
      <c r="E67" s="65"/>
      <c r="F67" s="65"/>
      <c r="G67" s="65"/>
      <c r="H67" s="65"/>
    </row>
    <row r="68" spans="1:8" ht="15.75">
      <c r="A68" s="44"/>
      <c r="B68" s="65"/>
      <c r="C68" s="65"/>
      <c r="D68" s="65"/>
      <c r="E68" s="65"/>
      <c r="F68" s="65"/>
      <c r="G68" s="65"/>
      <c r="H68" s="65"/>
    </row>
    <row r="69" spans="1:8" ht="15.75">
      <c r="A69" s="44"/>
      <c r="B69" s="65"/>
      <c r="C69" s="65"/>
      <c r="D69" s="65"/>
      <c r="E69" s="65"/>
      <c r="F69" s="65"/>
      <c r="G69" s="65"/>
      <c r="H69" s="65"/>
    </row>
    <row r="70" spans="1:8" ht="0.95" customHeight="1">
      <c r="A70" s="44"/>
      <c r="B70" s="65"/>
      <c r="C70" s="65"/>
      <c r="D70" s="65"/>
      <c r="E70" s="65"/>
      <c r="F70" s="65"/>
      <c r="G70" s="65"/>
      <c r="H70" s="65"/>
    </row>
    <row r="71" spans="1:8" ht="15.75">
      <c r="A71" s="44"/>
      <c r="B71" s="65"/>
      <c r="C71" s="65"/>
      <c r="D71" s="65"/>
      <c r="E71" s="65"/>
      <c r="F71" s="65"/>
      <c r="G71" s="65"/>
      <c r="H71" s="65"/>
    </row>
    <row r="72" spans="1:8" ht="15.75">
      <c r="A72" s="44"/>
      <c r="B72" s="65"/>
      <c r="C72" s="65"/>
      <c r="D72" s="65"/>
      <c r="E72" s="65"/>
      <c r="F72" s="65"/>
      <c r="G72" s="65"/>
      <c r="H72" s="65"/>
    </row>
    <row r="96" spans="1:5" ht="15.75">
      <c r="A96" s="44"/>
      <c r="B96" s="44"/>
      <c r="C96" s="45"/>
      <c r="D96" s="45"/>
      <c r="E96" s="45"/>
    </row>
    <row r="98" spans="1:8" ht="15.75">
      <c r="A98" s="44"/>
      <c r="B98" s="44"/>
      <c r="C98" s="44"/>
      <c r="D98" s="44"/>
      <c r="E98" s="44"/>
      <c r="F98" s="44"/>
      <c r="G98" s="45"/>
      <c r="H98" s="45"/>
    </row>
    <row r="100" spans="1:8" ht="15.75">
      <c r="A100" s="44"/>
      <c r="B100" s="44"/>
      <c r="C100" s="44"/>
      <c r="D100" s="45"/>
    </row>
    <row r="101" spans="1:8" ht="15.75">
      <c r="A101" s="44"/>
      <c r="B101" s="44"/>
      <c r="C101" s="44"/>
      <c r="D101" s="45"/>
    </row>
    <row r="102" spans="1:8" ht="15.75">
      <c r="A102" s="44"/>
      <c r="B102" s="44"/>
      <c r="C102" s="44"/>
      <c r="D102" s="45"/>
    </row>
    <row r="105" spans="1:8" ht="15.75">
      <c r="A105" s="44"/>
      <c r="C105" s="45" t="s">
        <v>9</v>
      </c>
      <c r="D105" s="45"/>
      <c r="E105" s="45"/>
      <c r="F105" s="66">
        <v>4301818</v>
      </c>
    </row>
  </sheetData>
  <phoneticPr fontId="13" type="noConversion"/>
  <printOptions horizontalCentered="1" verticalCentered="1"/>
  <pageMargins left="0.25" right="0.25" top="0.5" bottom="0.5" header="0.5" footer="0.5"/>
  <pageSetup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W127"/>
  <sheetViews>
    <sheetView defaultGridColor="0" topLeftCell="A4" colorId="22" zoomScale="87" workbookViewId="0">
      <selection activeCell="H67" sqref="H67"/>
    </sheetView>
  </sheetViews>
  <sheetFormatPr defaultColWidth="12.5703125" defaultRowHeight="15"/>
  <cols>
    <col min="1" max="1" width="26.5703125" style="7" customWidth="1"/>
    <col min="2" max="2" width="17" style="7" bestFit="1" customWidth="1"/>
    <col min="3" max="3" width="14.5703125" style="7" bestFit="1" customWidth="1"/>
    <col min="4" max="5" width="15.85546875" style="7" customWidth="1"/>
    <col min="6" max="6" width="15.5703125" style="7" customWidth="1"/>
    <col min="7" max="13" width="15.85546875" style="7" customWidth="1"/>
    <col min="14" max="16384" width="12.5703125" style="7"/>
  </cols>
  <sheetData>
    <row r="1" spans="1:36" ht="20.25">
      <c r="A1" s="37" t="s">
        <v>31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spans="1:36" ht="18.75">
      <c r="A2" s="8" t="s">
        <v>26</v>
      </c>
      <c r="B2" s="9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5" spans="1:36" ht="18.75" thickBot="1">
      <c r="A5" s="10" t="s">
        <v>22</v>
      </c>
      <c r="B5" s="11"/>
      <c r="C5" s="11"/>
      <c r="D5" s="12"/>
      <c r="E5" s="12"/>
      <c r="F5" s="12"/>
      <c r="G5" s="12"/>
      <c r="H5" s="12"/>
      <c r="I5" s="13"/>
      <c r="J5" s="13"/>
      <c r="K5" s="13"/>
      <c r="L5" s="13"/>
      <c r="M5" s="13"/>
    </row>
    <row r="6" spans="1:36" ht="15.75">
      <c r="A6" s="14"/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6" t="s">
        <v>21</v>
      </c>
      <c r="N6" s="17"/>
      <c r="O6" s="17"/>
    </row>
    <row r="7" spans="1:36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36" ht="15.75" hidden="1">
      <c r="A8" s="83" t="s">
        <v>29</v>
      </c>
      <c r="B8" s="19"/>
      <c r="C8" s="19"/>
      <c r="D8" s="19"/>
      <c r="E8" s="105"/>
      <c r="F8" s="105"/>
      <c r="G8" s="105"/>
      <c r="H8" s="105"/>
      <c r="I8" s="105"/>
      <c r="J8" s="105"/>
      <c r="K8" s="105"/>
      <c r="L8" s="105"/>
      <c r="M8" s="20"/>
    </row>
    <row r="9" spans="1:36" ht="15.75" hidden="1">
      <c r="A9" s="21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36" ht="15.75" hidden="1">
      <c r="A10" s="21" t="s">
        <v>2</v>
      </c>
      <c r="B10" s="24">
        <v>899099</v>
      </c>
      <c r="C10" s="24">
        <f>+M10*0.22</f>
        <v>6824658.9400000004</v>
      </c>
      <c r="D10" s="24">
        <f>+M10*0.76</f>
        <v>23576094.52</v>
      </c>
      <c r="E10" s="24">
        <f>+M10*0.85</f>
        <v>26368000.449999999</v>
      </c>
      <c r="F10" s="24">
        <f>+M10*0.854</f>
        <v>26492085.158</v>
      </c>
      <c r="G10" s="24">
        <f>+M10*0.87</f>
        <v>26988423.989999998</v>
      </c>
      <c r="H10" s="24">
        <f>+M10*0.91</f>
        <v>28229271.07</v>
      </c>
      <c r="I10" s="24">
        <f>+M10*0.93</f>
        <v>28849694.610000003</v>
      </c>
      <c r="J10" s="24">
        <f>+M10*0.95</f>
        <v>29470118.149999999</v>
      </c>
      <c r="K10" s="24">
        <f>+M10*0.98</f>
        <v>30400753.460000001</v>
      </c>
      <c r="L10" s="24">
        <f>+M10*99.9%</f>
        <v>30990155.823000003</v>
      </c>
      <c r="M10" s="25">
        <v>31021177</v>
      </c>
    </row>
    <row r="11" spans="1:36" ht="15.75" hidden="1">
      <c r="A11" s="21" t="s">
        <v>27</v>
      </c>
      <c r="B11" s="26">
        <v>0</v>
      </c>
      <c r="C11" s="24">
        <v>0</v>
      </c>
      <c r="D11" s="24">
        <f>+M11*0.01</f>
        <v>51027.92</v>
      </c>
      <c r="E11" s="24">
        <f>+M11*0.11</f>
        <v>561307.12</v>
      </c>
      <c r="F11" s="24">
        <f>+M11*0.21</f>
        <v>1071586.32</v>
      </c>
      <c r="G11" s="24">
        <f>+M11*0.33</f>
        <v>1683921.36</v>
      </c>
      <c r="H11" s="24">
        <f>+M11*0.44</f>
        <v>2245228.48</v>
      </c>
      <c r="I11" s="24">
        <f>+M11*0.54</f>
        <v>2755507.68</v>
      </c>
      <c r="J11" s="24">
        <f>+M11*0.67</f>
        <v>3418870.64</v>
      </c>
      <c r="K11" s="24">
        <f>+M11*0.79</f>
        <v>4031205.68</v>
      </c>
      <c r="L11" s="24">
        <f>+M11*0.89</f>
        <v>4541484.88</v>
      </c>
      <c r="M11" s="25">
        <v>5102792</v>
      </c>
    </row>
    <row r="12" spans="1:36" ht="15.75" hidden="1">
      <c r="A12" s="21" t="s">
        <v>4</v>
      </c>
      <c r="B12" s="26">
        <v>0</v>
      </c>
      <c r="C12" s="24">
        <v>0</v>
      </c>
      <c r="D12" s="24">
        <v>0</v>
      </c>
      <c r="E12" s="24">
        <v>0</v>
      </c>
      <c r="F12" s="24">
        <f>+E12+4141557</f>
        <v>4141557</v>
      </c>
      <c r="G12" s="24">
        <f>+F12+46247</f>
        <v>4187804</v>
      </c>
      <c r="H12" s="24">
        <f>+G12+18499</f>
        <v>4206303</v>
      </c>
      <c r="I12" s="24">
        <f>+H12+147991</f>
        <v>4354294</v>
      </c>
      <c r="J12" s="24">
        <f>+I12+175647</f>
        <v>4529941</v>
      </c>
      <c r="K12" s="24">
        <f>+J12+184989</f>
        <v>4714930</v>
      </c>
      <c r="L12" s="24">
        <f>+K12+92494+3106168</f>
        <v>7913592</v>
      </c>
      <c r="M12" s="25">
        <v>9249420</v>
      </c>
    </row>
    <row r="13" spans="1:36" ht="15.75" hidden="1">
      <c r="A13" s="21" t="s">
        <v>25</v>
      </c>
      <c r="B13" s="26">
        <v>0</v>
      </c>
      <c r="C13" s="26">
        <v>0</v>
      </c>
      <c r="D13" s="26">
        <v>0</v>
      </c>
      <c r="E13" s="26">
        <f>145000/9</f>
        <v>16111.111111111111</v>
      </c>
      <c r="F13" s="26">
        <f>+E13*2</f>
        <v>32222.222222222223</v>
      </c>
      <c r="G13" s="26">
        <f>+E13*3</f>
        <v>48333.333333333336</v>
      </c>
      <c r="H13" s="26">
        <f>+E13*4</f>
        <v>64444.444444444445</v>
      </c>
      <c r="I13" s="26">
        <f>+E13*5</f>
        <v>80555.555555555562</v>
      </c>
      <c r="J13" s="26">
        <f>+E13*6</f>
        <v>96666.666666666672</v>
      </c>
      <c r="K13" s="26">
        <f>+E13*7</f>
        <v>112777.77777777778</v>
      </c>
      <c r="L13" s="26">
        <f>+E13*8</f>
        <v>128888.88888888889</v>
      </c>
      <c r="M13" s="25">
        <v>151500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idden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</row>
    <row r="15" spans="1:36" ht="15.75" hidden="1">
      <c r="A15" s="21" t="s">
        <v>5</v>
      </c>
      <c r="B15" s="1">
        <f t="shared" ref="B15:M15" si="0">SUM(B10:B14)</f>
        <v>899099</v>
      </c>
      <c r="C15" s="1">
        <f t="shared" si="0"/>
        <v>6824658.9400000004</v>
      </c>
      <c r="D15" s="1">
        <f t="shared" si="0"/>
        <v>23627122.440000001</v>
      </c>
      <c r="E15" s="1">
        <f t="shared" si="0"/>
        <v>26945418.681111112</v>
      </c>
      <c r="F15" s="1">
        <f t="shared" si="0"/>
        <v>31737450.700222224</v>
      </c>
      <c r="G15" s="1">
        <f t="shared" si="0"/>
        <v>32908482.68333333</v>
      </c>
      <c r="H15" s="1">
        <f t="shared" si="0"/>
        <v>34745246.994444445</v>
      </c>
      <c r="I15" s="1">
        <f t="shared" si="0"/>
        <v>36040051.845555559</v>
      </c>
      <c r="J15" s="1">
        <f t="shared" si="0"/>
        <v>37515596.456666663</v>
      </c>
      <c r="K15" s="1">
        <f t="shared" si="0"/>
        <v>39259666.917777777</v>
      </c>
      <c r="L15" s="1">
        <f t="shared" si="0"/>
        <v>43574121.59188889</v>
      </c>
      <c r="M15" s="2">
        <f t="shared" si="0"/>
        <v>45524889</v>
      </c>
    </row>
    <row r="16" spans="1:36" ht="15.75" hidden="1">
      <c r="A16" s="2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49" ht="15.75" hidden="1">
      <c r="A17" s="2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49" ht="15.75" hidden="1">
      <c r="A18" s="52" t="s">
        <v>32</v>
      </c>
      <c r="B18" s="1"/>
      <c r="C18" s="1"/>
      <c r="D18" s="1"/>
      <c r="E18" s="101"/>
      <c r="F18" s="101"/>
      <c r="G18" s="101"/>
      <c r="H18" s="101"/>
      <c r="I18" s="101"/>
      <c r="J18" s="101"/>
      <c r="K18" s="102"/>
      <c r="L18" s="102"/>
      <c r="M18" s="104"/>
    </row>
    <row r="19" spans="1:49" ht="15.75" hidden="1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49" ht="15.75" hidden="1">
      <c r="A20" s="84" t="s">
        <v>2</v>
      </c>
      <c r="B20" s="24">
        <v>899099</v>
      </c>
      <c r="C20" s="24">
        <v>6128726</v>
      </c>
      <c r="D20" s="24">
        <v>24243318</v>
      </c>
      <c r="E20" s="29">
        <v>25497638</v>
      </c>
      <c r="F20" s="24">
        <v>26284507</v>
      </c>
      <c r="G20" s="24">
        <v>26790317</v>
      </c>
      <c r="H20" s="24">
        <v>27864294</v>
      </c>
      <c r="I20" s="29">
        <v>28797439</v>
      </c>
      <c r="J20" s="29">
        <v>29235518</v>
      </c>
      <c r="K20" s="29">
        <v>30032600</v>
      </c>
      <c r="L20" s="24">
        <f>+K20+450000</f>
        <v>30482600</v>
      </c>
      <c r="M20" s="25">
        <v>31160356</v>
      </c>
    </row>
    <row r="21" spans="1:49" ht="15.75" hidden="1">
      <c r="A21" s="84" t="s">
        <v>3</v>
      </c>
      <c r="B21" s="26">
        <v>0</v>
      </c>
      <c r="C21" s="26">
        <v>0</v>
      </c>
      <c r="D21" s="26">
        <v>25000</v>
      </c>
      <c r="E21" s="31">
        <v>337359</v>
      </c>
      <c r="F21" s="26">
        <v>649718</v>
      </c>
      <c r="G21" s="26">
        <v>1004072</v>
      </c>
      <c r="H21" s="26">
        <v>1324211</v>
      </c>
      <c r="I21" s="31">
        <v>1631762</v>
      </c>
      <c r="J21" s="31">
        <v>3974447</v>
      </c>
      <c r="K21" s="31">
        <v>3352461</v>
      </c>
      <c r="L21" s="24">
        <f>+K21+402737</f>
        <v>3755198</v>
      </c>
      <c r="M21" s="25">
        <v>4963408</v>
      </c>
    </row>
    <row r="22" spans="1:49" ht="15.75" hidden="1">
      <c r="A22" s="84" t="s">
        <v>4</v>
      </c>
      <c r="B22" s="26">
        <v>0</v>
      </c>
      <c r="C22" s="26">
        <v>0</v>
      </c>
      <c r="D22" s="26">
        <v>13706</v>
      </c>
      <c r="E22" s="31">
        <v>52297</v>
      </c>
      <c r="F22" s="26">
        <v>3250234</v>
      </c>
      <c r="G22" s="26">
        <v>3250234</v>
      </c>
      <c r="H22" s="26">
        <v>3420207</v>
      </c>
      <c r="I22" s="31">
        <v>3423567</v>
      </c>
      <c r="J22" s="31">
        <v>3543204</v>
      </c>
      <c r="K22" s="31">
        <v>4817130</v>
      </c>
      <c r="L22" s="24">
        <f>+K22+82425</f>
        <v>4899555</v>
      </c>
      <c r="M22" s="25">
        <v>9548586</v>
      </c>
    </row>
    <row r="23" spans="1:49" ht="15.75" hidden="1">
      <c r="A23" s="84" t="s">
        <v>25</v>
      </c>
      <c r="B23" s="26">
        <v>0</v>
      </c>
      <c r="C23" s="31">
        <v>0</v>
      </c>
      <c r="D23" s="31">
        <v>5000</v>
      </c>
      <c r="E23" s="31">
        <v>793731</v>
      </c>
      <c r="F23" s="26">
        <v>819027</v>
      </c>
      <c r="G23" s="26">
        <v>819027</v>
      </c>
      <c r="H23" s="26">
        <v>3920354</v>
      </c>
      <c r="I23" s="31">
        <v>3896710</v>
      </c>
      <c r="J23" s="31">
        <v>3901296</v>
      </c>
      <c r="K23" s="31">
        <v>6394386</v>
      </c>
      <c r="L23" s="26">
        <f>+K23+5000</f>
        <v>6399386</v>
      </c>
      <c r="M23" s="25">
        <f>10666402+5000</f>
        <v>10671402</v>
      </c>
    </row>
    <row r="24" spans="1:49" hidden="1">
      <c r="A24" s="8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</row>
    <row r="25" spans="1:49" ht="15.75" hidden="1">
      <c r="A25" s="84" t="s">
        <v>5</v>
      </c>
      <c r="B25" s="1">
        <f t="shared" ref="B25:M25" si="1">SUM(B20:B24)</f>
        <v>899099</v>
      </c>
      <c r="C25" s="1">
        <f t="shared" si="1"/>
        <v>6128726</v>
      </c>
      <c r="D25" s="1">
        <f t="shared" si="1"/>
        <v>24287024</v>
      </c>
      <c r="E25" s="1">
        <f t="shared" si="1"/>
        <v>26681025</v>
      </c>
      <c r="F25" s="1">
        <f t="shared" si="1"/>
        <v>31003486</v>
      </c>
      <c r="G25" s="1">
        <f t="shared" si="1"/>
        <v>31863650</v>
      </c>
      <c r="H25" s="1">
        <f t="shared" si="1"/>
        <v>36529066</v>
      </c>
      <c r="I25" s="1">
        <f t="shared" si="1"/>
        <v>37749478</v>
      </c>
      <c r="J25" s="1">
        <f t="shared" si="1"/>
        <v>40654465</v>
      </c>
      <c r="K25" s="1">
        <f t="shared" si="1"/>
        <v>44596577</v>
      </c>
      <c r="L25" s="1">
        <f t="shared" si="1"/>
        <v>45536739</v>
      </c>
      <c r="M25" s="2">
        <f t="shared" si="1"/>
        <v>56343752</v>
      </c>
    </row>
    <row r="26" spans="1:49" ht="15.75" hidden="1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49" ht="15.75" hidden="1">
      <c r="A27" s="2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49" ht="15.75">
      <c r="A28" s="52" t="s">
        <v>30</v>
      </c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49" ht="15.75">
      <c r="A29" s="21" t="s">
        <v>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/>
    </row>
    <row r="30" spans="1:49" ht="15.75">
      <c r="A30" s="21" t="s">
        <v>2</v>
      </c>
      <c r="B30" s="24">
        <v>899099</v>
      </c>
      <c r="C30" s="24">
        <v>6128726</v>
      </c>
      <c r="D30" s="24">
        <v>24243318</v>
      </c>
      <c r="E30" s="29">
        <v>25497638</v>
      </c>
      <c r="F30" s="24">
        <v>26284507</v>
      </c>
      <c r="G30" s="24">
        <v>26790317</v>
      </c>
      <c r="H30" s="24">
        <v>27864294</v>
      </c>
      <c r="I30" s="29">
        <v>28797439</v>
      </c>
      <c r="J30" s="29">
        <v>29235518</v>
      </c>
      <c r="K30" s="29">
        <v>30032600</v>
      </c>
      <c r="L30" s="29">
        <v>30355291</v>
      </c>
      <c r="M30" s="30">
        <v>30827496</v>
      </c>
      <c r="N30" s="13"/>
      <c r="O30" s="13"/>
      <c r="P30" s="13"/>
    </row>
    <row r="31" spans="1:49" ht="15.75">
      <c r="A31" s="21"/>
      <c r="B31" s="108">
        <f>+B30/$M$30</f>
        <v>2.9165489146442514E-2</v>
      </c>
      <c r="C31" s="108">
        <f t="shared" ref="C31:M31" si="2">+C30/$M$30</f>
        <v>0.19880712984278709</v>
      </c>
      <c r="D31" s="108">
        <f t="shared" si="2"/>
        <v>0.78641865690291546</v>
      </c>
      <c r="E31" s="108">
        <f t="shared" si="2"/>
        <v>0.82710700862632502</v>
      </c>
      <c r="F31" s="108">
        <f t="shared" si="2"/>
        <v>0.85263191664999327</v>
      </c>
      <c r="G31" s="108">
        <f t="shared" si="2"/>
        <v>0.86903967159707041</v>
      </c>
      <c r="H31" s="108">
        <f t="shared" si="2"/>
        <v>0.90387795362944823</v>
      </c>
      <c r="I31" s="108">
        <f t="shared" si="2"/>
        <v>0.93414784645499593</v>
      </c>
      <c r="J31" s="108">
        <f t="shared" si="2"/>
        <v>0.94835850436895686</v>
      </c>
      <c r="K31" s="108">
        <f t="shared" si="2"/>
        <v>0.97421470754549766</v>
      </c>
      <c r="L31" s="108">
        <f t="shared" si="2"/>
        <v>0.98468234332104043</v>
      </c>
      <c r="M31" s="108">
        <f t="shared" si="2"/>
        <v>1</v>
      </c>
      <c r="N31" s="13"/>
      <c r="O31" s="13"/>
      <c r="P31" s="13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</row>
    <row r="32" spans="1:49" ht="15.75">
      <c r="A32" s="21" t="s">
        <v>3</v>
      </c>
      <c r="B32" s="26">
        <v>0</v>
      </c>
      <c r="C32" s="26">
        <v>0</v>
      </c>
      <c r="D32" s="26">
        <v>25000</v>
      </c>
      <c r="E32" s="31">
        <v>337359</v>
      </c>
      <c r="F32" s="26">
        <v>649718</v>
      </c>
      <c r="G32" s="26">
        <v>1004072</v>
      </c>
      <c r="H32" s="26">
        <v>1324211</v>
      </c>
      <c r="I32" s="31">
        <v>1631762</v>
      </c>
      <c r="J32" s="31">
        <v>3974447</v>
      </c>
      <c r="K32" s="31">
        <v>3352461</v>
      </c>
      <c r="L32" s="31">
        <v>3771544</v>
      </c>
      <c r="M32" s="25">
        <v>4190626</v>
      </c>
    </row>
    <row r="33" spans="1:49" ht="15.75">
      <c r="A33" s="21"/>
      <c r="B33" s="108">
        <f>+B32/$M$32</f>
        <v>0</v>
      </c>
      <c r="C33" s="108">
        <f t="shared" ref="C33:M33" si="3">+C32/$M$32</f>
        <v>0</v>
      </c>
      <c r="D33" s="108">
        <f t="shared" si="3"/>
        <v>5.9656958172836227E-3</v>
      </c>
      <c r="E33" s="108">
        <f t="shared" si="3"/>
        <v>8.0503247008919435E-2</v>
      </c>
      <c r="F33" s="108">
        <f t="shared" si="3"/>
        <v>0.15504079820055525</v>
      </c>
      <c r="G33" s="108">
        <f t="shared" si="3"/>
        <v>0.23959952522606406</v>
      </c>
      <c r="H33" s="108">
        <f t="shared" si="3"/>
        <v>0.31599360095603857</v>
      </c>
      <c r="I33" s="108">
        <f t="shared" si="3"/>
        <v>0.38938382952809436</v>
      </c>
      <c r="J33" s="108">
        <f t="shared" si="3"/>
        <v>0.94841367375661778</v>
      </c>
      <c r="K33" s="108">
        <f t="shared" si="3"/>
        <v>0.7999905026122589</v>
      </c>
      <c r="L33" s="108">
        <f t="shared" si="3"/>
        <v>0.89999537062004575</v>
      </c>
      <c r="M33" s="108">
        <f t="shared" si="3"/>
        <v>1</v>
      </c>
      <c r="N33" s="13"/>
      <c r="O33" s="13"/>
      <c r="P33" s="13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</row>
    <row r="34" spans="1:49" ht="15.75">
      <c r="A34" s="21" t="s">
        <v>4</v>
      </c>
      <c r="B34" s="26">
        <v>0</v>
      </c>
      <c r="C34" s="26">
        <v>0</v>
      </c>
      <c r="D34" s="26">
        <v>13706</v>
      </c>
      <c r="E34" s="31">
        <v>52297</v>
      </c>
      <c r="F34" s="26">
        <v>3250234</v>
      </c>
      <c r="G34" s="26">
        <v>3250234</v>
      </c>
      <c r="H34" s="26">
        <v>3420207</v>
      </c>
      <c r="I34" s="31">
        <v>3423567</v>
      </c>
      <c r="J34" s="31">
        <v>3543204</v>
      </c>
      <c r="K34" s="31">
        <v>4817130</v>
      </c>
      <c r="L34" s="31">
        <v>4817129</v>
      </c>
      <c r="M34" s="25">
        <v>5038887</v>
      </c>
    </row>
    <row r="35" spans="1:49" ht="15.75">
      <c r="A35" s="21"/>
      <c r="B35" s="108">
        <f>+B34/$M$34</f>
        <v>0</v>
      </c>
      <c r="C35" s="108">
        <f t="shared" ref="C35:M35" si="4">+C34/$M$34</f>
        <v>0</v>
      </c>
      <c r="D35" s="108">
        <f t="shared" si="4"/>
        <v>2.7200451210753485E-3</v>
      </c>
      <c r="E35" s="108">
        <f t="shared" si="4"/>
        <v>1.0378680847576063E-2</v>
      </c>
      <c r="F35" s="108">
        <f t="shared" si="4"/>
        <v>0.64503014256918245</v>
      </c>
      <c r="G35" s="108">
        <f t="shared" si="4"/>
        <v>0.64503014256918245</v>
      </c>
      <c r="H35" s="108">
        <f t="shared" si="4"/>
        <v>0.67876239336186739</v>
      </c>
      <c r="I35" s="108">
        <f t="shared" si="4"/>
        <v>0.67942920728327505</v>
      </c>
      <c r="J35" s="108">
        <f t="shared" si="4"/>
        <v>0.703171950472396</v>
      </c>
      <c r="K35" s="108">
        <f t="shared" si="4"/>
        <v>0.95599087655666815</v>
      </c>
      <c r="L35" s="108">
        <f t="shared" si="4"/>
        <v>0.95599067810014393</v>
      </c>
      <c r="M35" s="108">
        <f t="shared" si="4"/>
        <v>1</v>
      </c>
      <c r="N35" s="13"/>
      <c r="O35" s="13"/>
      <c r="P35" s="13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</row>
    <row r="36" spans="1:49" ht="15.75">
      <c r="A36" s="21" t="s">
        <v>25</v>
      </c>
      <c r="B36" s="26">
        <v>0</v>
      </c>
      <c r="C36" s="31">
        <v>0</v>
      </c>
      <c r="D36" s="31">
        <v>5000</v>
      </c>
      <c r="E36" s="31">
        <v>793731</v>
      </c>
      <c r="F36" s="26">
        <v>819027</v>
      </c>
      <c r="G36" s="26">
        <v>819027</v>
      </c>
      <c r="H36" s="26">
        <v>3920354</v>
      </c>
      <c r="I36" s="31">
        <v>3896710</v>
      </c>
      <c r="J36" s="31">
        <v>3901296</v>
      </c>
      <c r="K36" s="31">
        <v>6394386</v>
      </c>
      <c r="L36" s="31">
        <v>6399673</v>
      </c>
      <c r="M36" s="25">
        <v>9523676</v>
      </c>
    </row>
    <row r="37" spans="1:49" ht="15.75">
      <c r="A37" s="21"/>
      <c r="B37" s="108">
        <f>+B36/$M$36</f>
        <v>0</v>
      </c>
      <c r="C37" s="108">
        <f t="shared" ref="C37:M37" si="5">+C36/$M$36</f>
        <v>0</v>
      </c>
      <c r="D37" s="108">
        <f t="shared" si="5"/>
        <v>5.2500736060319571E-4</v>
      </c>
      <c r="E37" s="108">
        <f t="shared" si="5"/>
        <v>8.3342923467787017E-2</v>
      </c>
      <c r="F37" s="108">
        <f t="shared" si="5"/>
        <v>8.5999040706550706E-2</v>
      </c>
      <c r="G37" s="108">
        <f t="shared" si="5"/>
        <v>8.5999040706550706E-2</v>
      </c>
      <c r="H37" s="108">
        <f t="shared" si="5"/>
        <v>0.41164294123403611</v>
      </c>
      <c r="I37" s="108">
        <f t="shared" si="5"/>
        <v>0.40916028642721569</v>
      </c>
      <c r="J37" s="108">
        <f t="shared" si="5"/>
        <v>0.40964182317836095</v>
      </c>
      <c r="K37" s="108">
        <f t="shared" si="5"/>
        <v>0.67141994330760513</v>
      </c>
      <c r="L37" s="108">
        <f t="shared" si="5"/>
        <v>0.671975086090707</v>
      </c>
      <c r="M37" s="108">
        <f t="shared" si="5"/>
        <v>1</v>
      </c>
      <c r="N37" s="13"/>
      <c r="O37" s="13"/>
      <c r="P37" s="13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</row>
    <row r="38" spans="1:49">
      <c r="A38" s="2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5"/>
    </row>
    <row r="39" spans="1:49" ht="16.5" thickBot="1">
      <c r="A39" s="32" t="s">
        <v>5</v>
      </c>
      <c r="B39" s="3">
        <f t="shared" ref="B39:L39" si="6">SUM(B30:B38)</f>
        <v>899099.02916548913</v>
      </c>
      <c r="C39" s="3">
        <f t="shared" si="6"/>
        <v>6128726.1988071296</v>
      </c>
      <c r="D39" s="3">
        <f t="shared" si="6"/>
        <v>24287024.795629408</v>
      </c>
      <c r="E39" s="3">
        <f t="shared" si="6"/>
        <v>26681026.001331862</v>
      </c>
      <c r="F39" s="3">
        <f t="shared" si="6"/>
        <v>31003487.738701895</v>
      </c>
      <c r="G39" s="3">
        <f t="shared" si="6"/>
        <v>31863651.839668382</v>
      </c>
      <c r="H39" s="3">
        <f t="shared" si="6"/>
        <v>36529068.310276888</v>
      </c>
      <c r="I39" s="3">
        <f t="shared" si="6"/>
        <v>37749480.412121169</v>
      </c>
      <c r="J39" s="3">
        <f t="shared" si="6"/>
        <v>40654468.009585954</v>
      </c>
      <c r="K39" s="3">
        <f t="shared" si="6"/>
        <v>44596580.401616022</v>
      </c>
      <c r="L39" s="3">
        <f t="shared" si="6"/>
        <v>45343640.512643479</v>
      </c>
      <c r="M39" s="4">
        <f>+M30+M32+M34+M36</f>
        <v>49580685</v>
      </c>
    </row>
    <row r="40" spans="1:49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49">
      <c r="A41" s="28"/>
      <c r="B41" s="19"/>
      <c r="C41" s="19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49" ht="18.75" thickBot="1">
      <c r="A42" s="33" t="s">
        <v>23</v>
      </c>
      <c r="B42" s="28"/>
      <c r="C42" s="28"/>
      <c r="D42" s="28"/>
      <c r="E42" s="28"/>
      <c r="F42" s="28"/>
      <c r="G42" s="28"/>
      <c r="H42" s="28"/>
      <c r="I42" s="28"/>
      <c r="J42" s="19"/>
      <c r="K42" s="22"/>
      <c r="L42" s="22"/>
      <c r="M42" s="22"/>
    </row>
    <row r="43" spans="1:49" ht="15.75">
      <c r="A43" s="34"/>
      <c r="B43" s="15" t="s">
        <v>10</v>
      </c>
      <c r="C43" s="15" t="s">
        <v>11</v>
      </c>
      <c r="D43" s="15" t="s">
        <v>12</v>
      </c>
      <c r="E43" s="15" t="s">
        <v>13</v>
      </c>
      <c r="F43" s="15" t="s">
        <v>14</v>
      </c>
      <c r="G43" s="15" t="s">
        <v>15</v>
      </c>
      <c r="H43" s="15" t="s">
        <v>16</v>
      </c>
      <c r="I43" s="15" t="s">
        <v>17</v>
      </c>
      <c r="J43" s="15" t="s">
        <v>18</v>
      </c>
      <c r="K43" s="15" t="s">
        <v>19</v>
      </c>
      <c r="L43" s="15" t="s">
        <v>20</v>
      </c>
      <c r="M43" s="16" t="s">
        <v>21</v>
      </c>
    </row>
    <row r="44" spans="1:49">
      <c r="A44" s="27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5"/>
    </row>
    <row r="45" spans="1:49" ht="15.75" hidden="1">
      <c r="A45" s="83" t="s">
        <v>29</v>
      </c>
      <c r="B45" s="24"/>
      <c r="C45" s="24"/>
      <c r="D45" s="106"/>
      <c r="E45" s="106"/>
      <c r="F45" s="106"/>
      <c r="G45" s="106"/>
      <c r="H45" s="106"/>
      <c r="I45" s="106"/>
      <c r="J45" s="106"/>
      <c r="K45" s="106"/>
      <c r="L45" s="106"/>
      <c r="M45" s="25"/>
    </row>
    <row r="46" spans="1:49" ht="15.75" hidden="1">
      <c r="A46" s="21" t="s">
        <v>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5"/>
    </row>
    <row r="47" spans="1:49" ht="15.75" hidden="1">
      <c r="A47" s="21" t="s">
        <v>7</v>
      </c>
      <c r="B47" s="26">
        <v>190293</v>
      </c>
      <c r="C47" s="26">
        <v>617662</v>
      </c>
      <c r="D47" s="26">
        <v>1207675</v>
      </c>
      <c r="E47" s="26">
        <v>2092695</v>
      </c>
      <c r="F47" s="26">
        <v>2690272</v>
      </c>
      <c r="G47" s="26">
        <v>3280285</v>
      </c>
      <c r="H47" s="26">
        <v>3870298</v>
      </c>
      <c r="I47" s="26">
        <v>4460312</v>
      </c>
      <c r="J47" s="26">
        <v>5050325</v>
      </c>
      <c r="K47" s="26">
        <v>5935344</v>
      </c>
      <c r="L47" s="26">
        <v>6525358</v>
      </c>
      <c r="M47" s="25">
        <v>7564271</v>
      </c>
    </row>
    <row r="48" spans="1:49" ht="15.75" hidden="1">
      <c r="A48" s="21" t="s">
        <v>8</v>
      </c>
      <c r="B48" s="26">
        <f>+B65</f>
        <v>227485</v>
      </c>
      <c r="C48" s="26">
        <f>+M48*0.01</f>
        <v>396964.36</v>
      </c>
      <c r="D48" s="26">
        <f>+M48*0.02</f>
        <v>793928.72</v>
      </c>
      <c r="E48" s="26">
        <f>+M48*0.037+15000000</f>
        <v>16468768.131999999</v>
      </c>
      <c r="F48" s="26">
        <f>+E48+300965</f>
        <v>16769733.131999999</v>
      </c>
      <c r="G48" s="26">
        <f>+F48+2001786</f>
        <v>18771519.131999999</v>
      </c>
      <c r="H48" s="26">
        <f>+G48+1100893</f>
        <v>19872412.131999999</v>
      </c>
      <c r="I48" s="26">
        <f>+H48+2009468</f>
        <v>21881880.131999999</v>
      </c>
      <c r="J48" s="26">
        <f>+I48+703928</f>
        <v>22585808.131999999</v>
      </c>
      <c r="K48" s="26">
        <f>+J48+763929+11000000</f>
        <v>34349737.131999999</v>
      </c>
      <c r="L48" s="26">
        <f>+K48+1500857</f>
        <v>35850594.131999999</v>
      </c>
      <c r="M48" s="25">
        <f>M50-M47</f>
        <v>39696436</v>
      </c>
    </row>
    <row r="49" spans="1:13" hidden="1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5"/>
    </row>
    <row r="50" spans="1:13" ht="15.75" hidden="1">
      <c r="A50" s="21" t="s">
        <v>5</v>
      </c>
      <c r="B50" s="1">
        <v>417778</v>
      </c>
      <c r="C50" s="1">
        <f t="shared" ref="C50:L50" si="7">C47+C48</f>
        <v>1014626.36</v>
      </c>
      <c r="D50" s="1">
        <f t="shared" si="7"/>
        <v>2001603.72</v>
      </c>
      <c r="E50" s="1">
        <f t="shared" si="7"/>
        <v>18561463.131999999</v>
      </c>
      <c r="F50" s="1">
        <f t="shared" si="7"/>
        <v>19460005.131999999</v>
      </c>
      <c r="G50" s="1">
        <f t="shared" si="7"/>
        <v>22051804.131999999</v>
      </c>
      <c r="H50" s="1">
        <f t="shared" si="7"/>
        <v>23742710.131999999</v>
      </c>
      <c r="I50" s="1">
        <f t="shared" si="7"/>
        <v>26342192.131999999</v>
      </c>
      <c r="J50" s="1">
        <f t="shared" si="7"/>
        <v>27636133.131999999</v>
      </c>
      <c r="K50" s="1">
        <f t="shared" si="7"/>
        <v>40285081.131999999</v>
      </c>
      <c r="L50" s="1">
        <f t="shared" si="7"/>
        <v>42375952.131999999</v>
      </c>
      <c r="M50" s="2">
        <v>47260707</v>
      </c>
    </row>
    <row r="51" spans="1:13" ht="15.75" hidden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</row>
    <row r="52" spans="1:13" ht="15.75" hidden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</row>
    <row r="53" spans="1:13" ht="15.75" hidden="1">
      <c r="A53" s="52" t="s">
        <v>32</v>
      </c>
      <c r="B53" s="1"/>
      <c r="C53" s="1"/>
      <c r="D53" s="101"/>
      <c r="E53" s="101"/>
      <c r="F53" s="101"/>
      <c r="G53" s="101"/>
      <c r="H53" s="101"/>
      <c r="I53" s="101"/>
      <c r="J53" s="101"/>
      <c r="K53" s="101"/>
      <c r="L53" s="101"/>
      <c r="M53" s="2"/>
    </row>
    <row r="54" spans="1:13" ht="15.75" hidden="1">
      <c r="A54" s="84" t="s">
        <v>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</row>
    <row r="55" spans="1:13" ht="15.75" hidden="1">
      <c r="A55" s="84" t="s">
        <v>7</v>
      </c>
      <c r="B55" s="26">
        <v>190293</v>
      </c>
      <c r="C55" s="26">
        <f>329541+132363+B55</f>
        <v>652197</v>
      </c>
      <c r="D55" s="26">
        <f>546216+554600+C55</f>
        <v>1753013</v>
      </c>
      <c r="E55" s="26">
        <v>3446320</v>
      </c>
      <c r="F55" s="26">
        <v>4591896</v>
      </c>
      <c r="G55" s="26">
        <v>5733645</v>
      </c>
      <c r="H55" s="26">
        <f>548560+554385.68+G55</f>
        <v>6836590.6799999997</v>
      </c>
      <c r="I55" s="26">
        <f>583666+1281+554873+H55</f>
        <v>7976410.6799999997</v>
      </c>
      <c r="J55" s="26">
        <f>559434+562197+I55</f>
        <v>9098041.6799999997</v>
      </c>
      <c r="K55" s="26">
        <v>10769175</v>
      </c>
      <c r="L55" s="26">
        <v>11891906</v>
      </c>
      <c r="M55" s="25">
        <v>14870611</v>
      </c>
    </row>
    <row r="56" spans="1:13" ht="15.75" hidden="1">
      <c r="A56" s="84" t="s">
        <v>8</v>
      </c>
      <c r="B56" s="26">
        <f t="shared" ref="B56:K56" si="8">+B58-B55</f>
        <v>227485</v>
      </c>
      <c r="C56" s="26">
        <f t="shared" si="8"/>
        <v>573783</v>
      </c>
      <c r="D56" s="26">
        <f t="shared" si="8"/>
        <v>1180721</v>
      </c>
      <c r="E56" s="26">
        <f t="shared" si="8"/>
        <v>13892357</v>
      </c>
      <c r="F56" s="26">
        <f t="shared" si="8"/>
        <v>14603335</v>
      </c>
      <c r="G56" s="26">
        <f t="shared" si="8"/>
        <v>17186227</v>
      </c>
      <c r="H56" s="26">
        <f t="shared" si="8"/>
        <v>18571536.32</v>
      </c>
      <c r="I56" s="26">
        <f t="shared" si="8"/>
        <v>19813862.32</v>
      </c>
      <c r="J56" s="26">
        <f t="shared" si="8"/>
        <v>21129117.32</v>
      </c>
      <c r="K56" s="26">
        <f t="shared" si="8"/>
        <v>34922073</v>
      </c>
      <c r="L56" s="26">
        <f>+M56*0.85</f>
        <v>37058552.449999996</v>
      </c>
      <c r="M56" s="25">
        <f>+M58-M55</f>
        <v>43598297</v>
      </c>
    </row>
    <row r="57" spans="1:13" hidden="1">
      <c r="A57" s="88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5"/>
    </row>
    <row r="58" spans="1:13" ht="15.75" hidden="1">
      <c r="A58" s="84" t="s">
        <v>5</v>
      </c>
      <c r="B58" s="1">
        <v>417778</v>
      </c>
      <c r="C58" s="1">
        <v>1225980</v>
      </c>
      <c r="D58" s="1">
        <v>2933734</v>
      </c>
      <c r="E58" s="1">
        <v>17338677</v>
      </c>
      <c r="F58" s="1">
        <v>19195231</v>
      </c>
      <c r="G58" s="1">
        <v>22919872</v>
      </c>
      <c r="H58" s="1">
        <v>25408127</v>
      </c>
      <c r="I58" s="1">
        <v>27790273</v>
      </c>
      <c r="J58" s="1">
        <v>30227159</v>
      </c>
      <c r="K58" s="1">
        <v>45691248</v>
      </c>
      <c r="L58" s="1">
        <f>SUM(L55:L57)</f>
        <v>48950458.449999996</v>
      </c>
      <c r="M58" s="2">
        <v>58468908</v>
      </c>
    </row>
    <row r="59" spans="1:13" ht="15.75" hidden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</row>
    <row r="60" spans="1:13" ht="15.75" hidden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</row>
    <row r="61" spans="1:13" ht="15.75">
      <c r="A61" s="52" t="s">
        <v>30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5"/>
    </row>
    <row r="62" spans="1:13" ht="15.75">
      <c r="A62" s="21" t="s">
        <v>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5"/>
    </row>
    <row r="63" spans="1:13" ht="15.75">
      <c r="A63" s="21" t="s">
        <v>7</v>
      </c>
      <c r="B63" s="26">
        <v>190293</v>
      </c>
      <c r="C63" s="26">
        <f>329541+132363+B63</f>
        <v>652197</v>
      </c>
      <c r="D63" s="26">
        <f>546216+554600+C63</f>
        <v>1753013</v>
      </c>
      <c r="E63" s="26">
        <v>3446320</v>
      </c>
      <c r="F63" s="26">
        <v>4591896</v>
      </c>
      <c r="G63" s="26">
        <v>5733645</v>
      </c>
      <c r="H63" s="26">
        <f>548560+554385.68+G63</f>
        <v>6836590.6799999997</v>
      </c>
      <c r="I63" s="26">
        <f>583666+1281+554873+H63</f>
        <v>7976410.6799999997</v>
      </c>
      <c r="J63" s="26">
        <f>559434+562197+I63</f>
        <v>9098041.6799999997</v>
      </c>
      <c r="K63" s="26">
        <v>10769175</v>
      </c>
      <c r="L63" s="26">
        <v>11890327</v>
      </c>
      <c r="M63" s="25">
        <f>1027042+465657+1073+L63</f>
        <v>13384099</v>
      </c>
    </row>
    <row r="64" spans="1:13" ht="15.75">
      <c r="A64" s="21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5"/>
    </row>
    <row r="65" spans="1:49" ht="15.75">
      <c r="A65" s="21" t="s">
        <v>8</v>
      </c>
      <c r="B65" s="26">
        <f t="shared" ref="B65:M65" si="9">+B68-B63</f>
        <v>227485</v>
      </c>
      <c r="C65" s="26">
        <f t="shared" si="9"/>
        <v>573783</v>
      </c>
      <c r="D65" s="26">
        <f t="shared" si="9"/>
        <v>1180721</v>
      </c>
      <c r="E65" s="26">
        <f t="shared" si="9"/>
        <v>13892357</v>
      </c>
      <c r="F65" s="26">
        <f t="shared" si="9"/>
        <v>14603335</v>
      </c>
      <c r="G65" s="26">
        <f t="shared" si="9"/>
        <v>17186227</v>
      </c>
      <c r="H65" s="26">
        <f t="shared" si="9"/>
        <v>18571536.32</v>
      </c>
      <c r="I65" s="26">
        <f t="shared" si="9"/>
        <v>19813862.32</v>
      </c>
      <c r="J65" s="26">
        <f t="shared" si="9"/>
        <v>21129117.32</v>
      </c>
      <c r="K65" s="26">
        <f t="shared" si="9"/>
        <v>34922073</v>
      </c>
      <c r="L65" s="26">
        <f t="shared" si="9"/>
        <v>36675632</v>
      </c>
      <c r="M65" s="25">
        <f t="shared" si="9"/>
        <v>39998265</v>
      </c>
    </row>
    <row r="66" spans="1:49" ht="15.75">
      <c r="A66" s="21"/>
      <c r="B66" s="108">
        <f>+B65/$M$65</f>
        <v>5.6873716897470426E-3</v>
      </c>
      <c r="C66" s="108">
        <f t="shared" ref="C66:M66" si="10">+C65/$M$65</f>
        <v>1.4345197222929545E-2</v>
      </c>
      <c r="D66" s="108">
        <f t="shared" si="10"/>
        <v>2.9519305399871718E-2</v>
      </c>
      <c r="E66" s="108">
        <f t="shared" si="10"/>
        <v>0.34732399017807397</v>
      </c>
      <c r="F66" s="108">
        <f t="shared" si="10"/>
        <v>0.36509921117828487</v>
      </c>
      <c r="G66" s="108">
        <f t="shared" si="10"/>
        <v>0.42967431212328833</v>
      </c>
      <c r="H66" s="108">
        <f t="shared" si="10"/>
        <v>0.46430854738324273</v>
      </c>
      <c r="I66" s="108">
        <f t="shared" si="10"/>
        <v>0.49536804458893408</v>
      </c>
      <c r="J66" s="108">
        <f t="shared" si="10"/>
        <v>0.52825084588044002</v>
      </c>
      <c r="K66" s="108">
        <f t="shared" si="10"/>
        <v>0.87308969526553215</v>
      </c>
      <c r="L66" s="108">
        <f t="shared" si="10"/>
        <v>0.91693057186355453</v>
      </c>
      <c r="M66" s="108">
        <f t="shared" si="10"/>
        <v>1</v>
      </c>
      <c r="N66" s="13"/>
      <c r="O66" s="13"/>
      <c r="P66" s="13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</row>
    <row r="67" spans="1:49">
      <c r="A67" s="27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5"/>
    </row>
    <row r="68" spans="1:49" ht="16.5" thickBot="1">
      <c r="A68" s="32" t="s">
        <v>5</v>
      </c>
      <c r="B68" s="3">
        <v>417778</v>
      </c>
      <c r="C68" s="3">
        <v>1225980</v>
      </c>
      <c r="D68" s="3">
        <v>2933734</v>
      </c>
      <c r="E68" s="3">
        <v>17338677</v>
      </c>
      <c r="F68" s="3">
        <v>19195231</v>
      </c>
      <c r="G68" s="3">
        <v>22919872</v>
      </c>
      <c r="H68" s="3">
        <v>25408127</v>
      </c>
      <c r="I68" s="3">
        <v>27790273</v>
      </c>
      <c r="J68" s="3">
        <v>30227159</v>
      </c>
      <c r="K68" s="3">
        <v>45691248</v>
      </c>
      <c r="L68" s="3">
        <v>48565959</v>
      </c>
      <c r="M68" s="4">
        <v>53382364</v>
      </c>
    </row>
    <row r="69" spans="1:4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49" ht="15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49" ht="15.75">
      <c r="J71" s="13"/>
      <c r="K71" s="13"/>
      <c r="L71" s="13"/>
      <c r="M71" s="13"/>
    </row>
    <row r="72" spans="1:49" ht="15.7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49" ht="15.75">
      <c r="A73" s="13"/>
      <c r="B73" s="13"/>
      <c r="C73" s="12"/>
      <c r="D73" s="12"/>
      <c r="E73" s="13"/>
      <c r="F73" s="13"/>
      <c r="G73" s="13"/>
      <c r="H73" s="13"/>
      <c r="I73" s="13"/>
      <c r="J73" s="13"/>
      <c r="K73" s="13"/>
      <c r="L73" s="13"/>
      <c r="M73" s="13"/>
    </row>
    <row r="74" spans="1:49" ht="15.75">
      <c r="E74" s="13"/>
      <c r="F74" s="13"/>
      <c r="G74" s="13"/>
      <c r="H74" s="13"/>
      <c r="I74" s="13"/>
      <c r="J74" s="13"/>
      <c r="K74" s="13"/>
      <c r="L74" s="13"/>
      <c r="M74" s="13"/>
    </row>
    <row r="75" spans="1:49" ht="15.75">
      <c r="A75" s="13"/>
      <c r="B75" s="13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</row>
    <row r="76" spans="1:49" ht="15.7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49" ht="15.75">
      <c r="A77" s="13"/>
      <c r="B77" s="13"/>
      <c r="C77" s="13"/>
      <c r="D77" s="13"/>
      <c r="E77" s="13"/>
      <c r="F77" s="13"/>
      <c r="G77" s="13"/>
      <c r="H77" s="13"/>
      <c r="I77" s="13"/>
    </row>
    <row r="85" spans="1:8" ht="15.75">
      <c r="A85" s="12"/>
      <c r="B85" s="35"/>
      <c r="C85" s="35"/>
      <c r="D85" s="35"/>
      <c r="E85" s="35"/>
      <c r="F85" s="35"/>
      <c r="G85" s="35"/>
      <c r="H85" s="35"/>
    </row>
    <row r="86" spans="1:8" ht="15.75">
      <c r="A86" s="12"/>
      <c r="B86" s="35"/>
      <c r="C86" s="35"/>
      <c r="D86" s="35"/>
      <c r="E86" s="35"/>
      <c r="F86" s="35"/>
      <c r="G86" s="35"/>
      <c r="H86" s="35"/>
    </row>
    <row r="87" spans="1:8" ht="15.75">
      <c r="A87" s="12"/>
      <c r="B87" s="35"/>
      <c r="C87" s="35"/>
      <c r="D87" s="35"/>
      <c r="E87" s="35"/>
      <c r="F87" s="35"/>
      <c r="G87" s="35"/>
      <c r="H87" s="35"/>
    </row>
    <row r="88" spans="1:8" ht="15.75">
      <c r="A88" s="12"/>
      <c r="B88" s="35"/>
      <c r="C88" s="35"/>
      <c r="D88" s="35"/>
      <c r="E88" s="35"/>
      <c r="F88" s="35"/>
      <c r="G88" s="35"/>
      <c r="H88" s="35"/>
    </row>
    <row r="89" spans="1:8" ht="15.75">
      <c r="A89" s="12"/>
      <c r="B89" s="35"/>
      <c r="C89" s="35"/>
      <c r="D89" s="35"/>
      <c r="E89" s="35"/>
      <c r="F89" s="35"/>
      <c r="G89" s="35"/>
      <c r="H89" s="35"/>
    </row>
    <row r="90" spans="1:8" ht="15.75">
      <c r="A90" s="12"/>
      <c r="B90" s="35"/>
      <c r="C90" s="35"/>
      <c r="D90" s="35"/>
      <c r="E90" s="35"/>
      <c r="F90" s="35"/>
      <c r="G90" s="35"/>
      <c r="H90" s="35"/>
    </row>
    <row r="91" spans="1:8" ht="12.95" customHeight="1">
      <c r="A91" s="12"/>
      <c r="B91" s="35"/>
      <c r="C91" s="35"/>
      <c r="D91" s="35"/>
      <c r="E91" s="35"/>
      <c r="F91" s="35"/>
      <c r="G91" s="35"/>
      <c r="H91" s="35"/>
    </row>
    <row r="92" spans="1:8" ht="15.75">
      <c r="A92" s="12"/>
      <c r="B92" s="35"/>
      <c r="C92" s="35"/>
      <c r="D92" s="35"/>
      <c r="E92" s="35"/>
      <c r="F92" s="35"/>
      <c r="G92" s="35"/>
      <c r="H92" s="35"/>
    </row>
    <row r="93" spans="1:8" ht="15.75">
      <c r="A93" s="12"/>
      <c r="B93" s="35"/>
      <c r="C93" s="35"/>
      <c r="D93" s="35"/>
      <c r="E93" s="35"/>
      <c r="F93" s="35"/>
      <c r="G93" s="35"/>
      <c r="H93" s="35"/>
    </row>
    <row r="94" spans="1:8" ht="15.75">
      <c r="A94" s="12"/>
      <c r="B94" s="35"/>
      <c r="C94" s="35"/>
      <c r="D94" s="35"/>
      <c r="E94" s="35"/>
      <c r="F94" s="35"/>
      <c r="G94" s="35"/>
      <c r="H94" s="35"/>
    </row>
    <row r="95" spans="1:8" ht="15.75">
      <c r="A95" s="12"/>
      <c r="B95" s="35"/>
      <c r="C95" s="35"/>
      <c r="D95" s="35"/>
      <c r="E95" s="35"/>
      <c r="F95" s="35"/>
      <c r="G95" s="35"/>
      <c r="H95" s="35"/>
    </row>
    <row r="96" spans="1:8" ht="15.75">
      <c r="A96" s="12"/>
      <c r="B96" s="35"/>
      <c r="C96" s="35"/>
      <c r="D96" s="35"/>
      <c r="E96" s="35"/>
      <c r="F96" s="35"/>
      <c r="G96" s="35"/>
      <c r="H96" s="35"/>
    </row>
    <row r="97" spans="1:8" ht="15.75">
      <c r="A97" s="12"/>
      <c r="B97" s="35"/>
      <c r="C97" s="35"/>
      <c r="D97" s="35"/>
      <c r="E97" s="35"/>
      <c r="F97" s="35"/>
      <c r="G97" s="35"/>
      <c r="H97" s="35"/>
    </row>
    <row r="119" spans="1:8" ht="15.75">
      <c r="A119" s="12"/>
      <c r="B119" s="12"/>
      <c r="C119" s="13"/>
      <c r="D119" s="13"/>
      <c r="E119" s="13"/>
    </row>
    <row r="121" spans="1:8" ht="15.75">
      <c r="A121" s="12"/>
      <c r="B121" s="12"/>
      <c r="C121" s="12"/>
      <c r="D121" s="12"/>
      <c r="E121" s="12"/>
      <c r="F121" s="12"/>
      <c r="G121" s="13"/>
      <c r="H121" s="13"/>
    </row>
    <row r="122" spans="1:8" ht="15.75">
      <c r="A122" s="12"/>
      <c r="B122" s="12"/>
      <c r="C122" s="12"/>
      <c r="D122" s="12"/>
      <c r="E122" s="12"/>
      <c r="F122" s="12"/>
      <c r="G122" s="13"/>
      <c r="H122" s="13"/>
    </row>
    <row r="123" spans="1:8" ht="15.75">
      <c r="A123" s="12"/>
      <c r="B123" s="12"/>
      <c r="C123" s="12"/>
      <c r="D123" s="12"/>
      <c r="E123" s="12"/>
      <c r="F123" s="12"/>
      <c r="G123" s="13"/>
      <c r="H123" s="13"/>
    </row>
    <row r="127" spans="1:8" ht="15.75">
      <c r="A127" s="12"/>
      <c r="C127" s="13" t="s">
        <v>9</v>
      </c>
      <c r="D127" s="13"/>
      <c r="E127" s="13"/>
      <c r="F127" s="36">
        <v>23627166</v>
      </c>
    </row>
  </sheetData>
  <phoneticPr fontId="13" type="noConversion"/>
  <printOptions horizontalCentered="1" verticalCentered="1"/>
  <pageMargins left="0.5" right="0.5" top="0.5" bottom="0.5" header="0.5" footer="0.5"/>
  <pageSetup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03"/>
  <sheetViews>
    <sheetView defaultGridColor="0" topLeftCell="F90" colorId="22" zoomScale="87" workbookViewId="0">
      <selection activeCell="M44" sqref="A1:M44"/>
    </sheetView>
  </sheetViews>
  <sheetFormatPr defaultColWidth="12.5703125" defaultRowHeight="15"/>
  <cols>
    <col min="1" max="1" width="26.5703125" style="7" customWidth="1"/>
    <col min="2" max="2" width="17" style="7" bestFit="1" customWidth="1"/>
    <col min="3" max="3" width="14.5703125" style="7" bestFit="1" customWidth="1"/>
    <col min="4" max="5" width="15.85546875" style="7" customWidth="1"/>
    <col min="6" max="6" width="15.5703125" style="7" customWidth="1"/>
    <col min="7" max="13" width="15.85546875" style="7" customWidth="1"/>
    <col min="14" max="16384" width="12.5703125" style="7"/>
  </cols>
  <sheetData>
    <row r="1" spans="1:36" ht="20.25">
      <c r="A1" s="37" t="s">
        <v>34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spans="1:36" ht="18.75">
      <c r="A2" s="8" t="s">
        <v>26</v>
      </c>
      <c r="B2" s="9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5" spans="1:36" ht="18.75" thickBot="1">
      <c r="A5" s="10" t="s">
        <v>22</v>
      </c>
      <c r="B5" s="11"/>
      <c r="C5" s="11"/>
      <c r="D5" s="12"/>
      <c r="E5" s="12"/>
      <c r="F5" s="12"/>
      <c r="G5" s="12"/>
      <c r="H5" s="12"/>
      <c r="I5" s="13"/>
      <c r="J5" s="13"/>
      <c r="K5" s="13"/>
      <c r="L5" s="13"/>
      <c r="M5" s="13"/>
    </row>
    <row r="6" spans="1:36" ht="15.75">
      <c r="A6" s="14"/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6" t="s">
        <v>21</v>
      </c>
      <c r="N6" s="17"/>
      <c r="O6" s="17"/>
    </row>
    <row r="7" spans="1:36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36" ht="15.75">
      <c r="A8" s="83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36" ht="15.75">
      <c r="A9" s="21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36" ht="15.75">
      <c r="A10" s="21" t="s">
        <v>2</v>
      </c>
      <c r="B10" s="24">
        <f>+B20</f>
        <v>18300</v>
      </c>
      <c r="C10" s="24">
        <f>+'Special 04-05 (template)'!C31*'Special 05-06 (Original)'!$M$10</f>
        <v>6472871.4797286158</v>
      </c>
      <c r="D10" s="24">
        <f>+'Special 04-05 (template)'!D31*'Special 05-06 (Original)'!$M$10</f>
        <v>25604649.588869106</v>
      </c>
      <c r="E10" s="24">
        <f>+'Special 04-05 (template)'!E31*'Special 05-06 (Original)'!$M$10</f>
        <v>26929403.241496619</v>
      </c>
      <c r="F10" s="24">
        <f>+'Special 04-05 (template)'!F31*'Special 05-06 (Original)'!$M$10</f>
        <v>27760457.184580807</v>
      </c>
      <c r="G10" s="24">
        <f>+'Special 04-05 (template)'!G31*'Special 05-06 (Original)'!$M$10</f>
        <v>28294669.861597452</v>
      </c>
      <c r="H10" s="24">
        <f>+'Special 04-05 (template)'!H31*'Special 05-06 (Original)'!$M$10</f>
        <v>29428953.739386164</v>
      </c>
      <c r="I10" s="24">
        <f>+'Special 04-05 (template)'!I31*'Special 05-06 (Original)'!$M$10</f>
        <v>30414497.497901615</v>
      </c>
      <c r="J10" s="24">
        <f>+'Special 04-05 (template)'!J31*'Special 05-06 (Original)'!$M$10</f>
        <v>30877175.88570489</v>
      </c>
      <c r="K10" s="24">
        <f>+'Special 04-05 (template)'!K31*'Special 05-06 (Original)'!$M$10</f>
        <v>31719016.317926049</v>
      </c>
      <c r="L10" s="24">
        <f>+'Special 04-05 (template)'!L31*'Special 05-06 (Original)'!$M$10</f>
        <v>32059827.339770574</v>
      </c>
      <c r="M10" s="25">
        <v>32558548</v>
      </c>
    </row>
    <row r="11" spans="1:36" ht="15.75">
      <c r="A11" s="21" t="s">
        <v>27</v>
      </c>
      <c r="B11" s="26">
        <f>+'Special 04-05 (template)'!B33*'Special 05-06 (Original)'!$M$11</f>
        <v>0</v>
      </c>
      <c r="C11" s="26">
        <f>+'Special 04-05 (template)'!C33*'Special 05-06 (Original)'!$M$11</f>
        <v>0</v>
      </c>
      <c r="D11" s="26">
        <f>+'Special 04-05 (template)'!D33*'Special 05-06 (Original)'!$M$11</f>
        <v>30910.715964631534</v>
      </c>
      <c r="E11" s="26">
        <f>+'Special 04-05 (template)'!E33*'Special 05-06 (Original)'!$M$11</f>
        <v>417120.32908448525</v>
      </c>
      <c r="F11" s="26">
        <f>+'Special 04-05 (template)'!F33*'Special 05-06 (Original)'!$M$11</f>
        <v>803329.94220433896</v>
      </c>
      <c r="G11" s="26">
        <f>+'Special 04-05 (template)'!G33*'Special 05-06 (Original)'!$M$11</f>
        <v>1241463.3760015806</v>
      </c>
      <c r="H11" s="26">
        <f>+'Special 04-05 (template)'!H33*'Special 05-06 (Original)'!$M$11</f>
        <v>1637292.4039296277</v>
      </c>
      <c r="I11" s="26">
        <f>+'Special 04-05 (template)'!I33*'Special 05-06 (Original)'!$M$11</f>
        <v>2017557.2681551634</v>
      </c>
      <c r="J11" s="26">
        <f>+'Special 04-05 (template)'!J33*'Special 05-06 (Original)'!$M$11</f>
        <v>4914120.0933392765</v>
      </c>
      <c r="K11" s="26">
        <f>+'Special 04-05 (template)'!K33*'Special 05-06 (Original)'!$M$11</f>
        <v>4145078.7901401846</v>
      </c>
      <c r="L11" s="26">
        <f>+'Special 04-05 (template)'!L33*'Special 05-06 (Original)'!$M$11</f>
        <v>4663245.0132844113</v>
      </c>
      <c r="M11" s="25">
        <v>5181410</v>
      </c>
    </row>
    <row r="12" spans="1:36" ht="15.75">
      <c r="A12" s="21" t="s">
        <v>4</v>
      </c>
      <c r="B12" s="26">
        <f>+'Special 04-05 (template)'!B35*'Special 05-06 (Original)'!$M$12</f>
        <v>0</v>
      </c>
      <c r="C12" s="26">
        <f>+'Special 04-05 (template)'!C35*'Special 05-06 (Original)'!$M$12</f>
        <v>0</v>
      </c>
      <c r="D12" s="26">
        <f>+'Special 04-05 (template)'!D35*'Special 05-06 (Original)'!$M$12</f>
        <v>27598.52981422286</v>
      </c>
      <c r="E12" s="26">
        <f>+'Special 04-05 (template)'!E35*'Special 05-06 (Original)'!$M$12</f>
        <v>105305.72841780339</v>
      </c>
      <c r="F12" s="26">
        <f>+'Special 04-05 (template)'!F35*'Special 05-06 (Original)'!$M$12</f>
        <v>6544701.587056824</v>
      </c>
      <c r="G12" s="26">
        <f>+'Special 04-05 (template)'!G35*'Special 05-06 (Original)'!$M$12</f>
        <v>6544701.587056824</v>
      </c>
      <c r="H12" s="26">
        <f>+'Special 04-05 (template)'!H35*'Special 05-06 (Original)'!$M$12</f>
        <v>6886960.8098871829</v>
      </c>
      <c r="I12" s="26">
        <f>+'Special 04-05 (template)'!I35*'Special 05-06 (Original)'!$M$12</f>
        <v>6893726.5373186581</v>
      </c>
      <c r="J12" s="26">
        <f>+'Special 04-05 (template)'!J35*'Special 05-06 (Original)'!$M$12</f>
        <v>7134628.7196755949</v>
      </c>
      <c r="K12" s="26">
        <f>+'Special 04-05 (template)'!K35*'Special 05-06 (Original)'!$M$12</f>
        <v>9699818.0303507503</v>
      </c>
      <c r="L12" s="26">
        <f>+'Special 04-05 (template)'!L35*'Special 05-06 (Original)'!$M$12</f>
        <v>9699816.016741395</v>
      </c>
      <c r="M12" s="25">
        <v>10146350</v>
      </c>
    </row>
    <row r="13" spans="1:36" ht="15.75">
      <c r="A13" s="21" t="s">
        <v>25</v>
      </c>
      <c r="B13" s="26">
        <f>+'Special 04-05 (template)'!B37*'Special 05-06 (Original)'!$M$13</f>
        <v>0</v>
      </c>
      <c r="C13" s="26">
        <f>+'Special 04-05 (template)'!C37*'Special 05-06 (Original)'!$M$13</f>
        <v>0</v>
      </c>
      <c r="D13" s="26">
        <f>+'Special 04-05 (template)'!D37*'Special 05-06 (Original)'!$M$13</f>
        <v>24.4128422680486</v>
      </c>
      <c r="E13" s="26">
        <f>+'Special 04-05 (template)'!E37*'Special 05-06 (Original)'!$M$13</f>
        <v>3875.4459412520964</v>
      </c>
      <c r="F13" s="26">
        <f>+'Special 04-05 (template)'!F37*'Special 05-06 (Original)'!$M$13</f>
        <v>3998.9553928546079</v>
      </c>
      <c r="G13" s="26">
        <f>+'Special 04-05 (template)'!G37*'Special 05-06 (Original)'!$M$13</f>
        <v>3998.9553928546079</v>
      </c>
      <c r="H13" s="26">
        <f>+'Special 04-05 (template)'!H37*'Special 05-06 (Original)'!$M$13</f>
        <v>19141.396767382677</v>
      </c>
      <c r="I13" s="26">
        <f>+'Special 04-05 (template)'!I37*'Special 05-06 (Original)'!$M$13</f>
        <v>19025.95331886553</v>
      </c>
      <c r="J13" s="26">
        <f>+'Special 04-05 (template)'!J37*'Special 05-06 (Original)'!$M$13</f>
        <v>19048.344777793784</v>
      </c>
      <c r="K13" s="26">
        <f>+'Special 04-05 (template)'!K37*'Special 05-06 (Original)'!$M$13</f>
        <v>31221.027363803638</v>
      </c>
      <c r="L13" s="26">
        <f>+'Special 04-05 (template)'!L37*'Special 05-06 (Original)'!$M$13</f>
        <v>31246.841503217875</v>
      </c>
      <c r="M13" s="25">
        <v>46500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</row>
    <row r="15" spans="1:36" ht="15.75">
      <c r="A15" s="21" t="s">
        <v>5</v>
      </c>
      <c r="B15" s="1">
        <f t="shared" ref="B15:M15" si="0">SUM(B10:B14)</f>
        <v>18300</v>
      </c>
      <c r="C15" s="1">
        <f t="shared" si="0"/>
        <v>6472871.4797286158</v>
      </c>
      <c r="D15" s="1">
        <f t="shared" si="0"/>
        <v>25663183.247490227</v>
      </c>
      <c r="E15" s="1">
        <f t="shared" si="0"/>
        <v>27455704.744940158</v>
      </c>
      <c r="F15" s="1">
        <f t="shared" si="0"/>
        <v>35112487.66923482</v>
      </c>
      <c r="G15" s="1">
        <f t="shared" si="0"/>
        <v>36084833.780048713</v>
      </c>
      <c r="H15" s="1">
        <f t="shared" si="0"/>
        <v>37972348.349970363</v>
      </c>
      <c r="I15" s="1">
        <f t="shared" si="0"/>
        <v>39344807.256694302</v>
      </c>
      <c r="J15" s="1">
        <f t="shared" si="0"/>
        <v>42944973.043497555</v>
      </c>
      <c r="K15" s="1">
        <f t="shared" si="0"/>
        <v>45595134.16578079</v>
      </c>
      <c r="L15" s="1">
        <f t="shared" si="0"/>
        <v>46454135.211299598</v>
      </c>
      <c r="M15" s="2">
        <f t="shared" si="0"/>
        <v>47932808</v>
      </c>
    </row>
    <row r="16" spans="1:36" ht="15.75">
      <c r="A16" s="2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2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35</v>
      </c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</row>
    <row r="19" spans="1:16" ht="15.75">
      <c r="A19" s="21" t="s">
        <v>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5"/>
    </row>
    <row r="20" spans="1:16" ht="15.75">
      <c r="A20" s="21" t="s">
        <v>2</v>
      </c>
      <c r="B20" s="24">
        <v>18300</v>
      </c>
      <c r="C20" s="24">
        <v>7062224</v>
      </c>
      <c r="D20" s="24">
        <v>25544754</v>
      </c>
      <c r="E20" s="29">
        <v>27366425</v>
      </c>
      <c r="F20" s="24">
        <v>27722462</v>
      </c>
      <c r="G20" s="24"/>
      <c r="H20" s="24"/>
      <c r="I20" s="29"/>
      <c r="J20" s="29"/>
      <c r="K20" s="29"/>
      <c r="L20" s="29"/>
      <c r="M20" s="30"/>
      <c r="N20" s="13"/>
      <c r="O20" s="13"/>
      <c r="P20" s="13"/>
    </row>
    <row r="21" spans="1:16" ht="15.75">
      <c r="A21" s="21" t="s">
        <v>3</v>
      </c>
      <c r="B21" s="26">
        <v>0</v>
      </c>
      <c r="C21" s="26">
        <v>0</v>
      </c>
      <c r="D21" s="26">
        <v>0</v>
      </c>
      <c r="E21" s="31">
        <v>439292</v>
      </c>
      <c r="F21" s="26">
        <v>870583</v>
      </c>
      <c r="G21" s="26"/>
      <c r="H21" s="26"/>
      <c r="I21" s="31"/>
      <c r="J21" s="31"/>
      <c r="K21" s="31"/>
      <c r="L21" s="31"/>
      <c r="M21" s="25"/>
    </row>
    <row r="22" spans="1:16" ht="15.75">
      <c r="A22" s="21" t="s">
        <v>4</v>
      </c>
      <c r="B22" s="26">
        <v>0</v>
      </c>
      <c r="C22" s="26">
        <v>0</v>
      </c>
      <c r="D22" s="26">
        <v>0</v>
      </c>
      <c r="E22" s="31">
        <v>30649</v>
      </c>
      <c r="F22" s="26">
        <v>1994650</v>
      </c>
      <c r="G22" s="26"/>
      <c r="H22" s="26"/>
      <c r="I22" s="31"/>
      <c r="J22" s="31"/>
      <c r="K22" s="31"/>
      <c r="L22" s="31"/>
      <c r="M22" s="25"/>
    </row>
    <row r="23" spans="1:16" ht="15.75">
      <c r="A23" s="21" t="s">
        <v>25</v>
      </c>
      <c r="B23" s="26">
        <v>0</v>
      </c>
      <c r="C23" s="31">
        <v>0</v>
      </c>
      <c r="D23" s="31">
        <v>0</v>
      </c>
      <c r="E23" s="31">
        <v>6517</v>
      </c>
      <c r="F23" s="26">
        <v>11317</v>
      </c>
      <c r="G23" s="26"/>
      <c r="H23" s="26"/>
      <c r="I23" s="31"/>
      <c r="J23" s="31"/>
      <c r="K23" s="31"/>
      <c r="L23" s="31"/>
      <c r="M23" s="25"/>
    </row>
    <row r="24" spans="1:16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</row>
    <row r="25" spans="1:16" ht="16.5" thickBot="1">
      <c r="A25" s="32" t="s">
        <v>5</v>
      </c>
      <c r="B25" s="3">
        <f t="shared" ref="B25:L25" si="1">SUM(B20:B24)</f>
        <v>18300</v>
      </c>
      <c r="C25" s="3">
        <f t="shared" si="1"/>
        <v>7062224</v>
      </c>
      <c r="D25" s="3">
        <f t="shared" si="1"/>
        <v>25544754</v>
      </c>
      <c r="E25" s="3">
        <f t="shared" si="1"/>
        <v>27842883</v>
      </c>
      <c r="F25" s="3">
        <f t="shared" si="1"/>
        <v>30599012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4">
        <f>+M20+M21+M22+M23</f>
        <v>0</v>
      </c>
    </row>
    <row r="26" spans="1:1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6">
      <c r="A27" s="28"/>
      <c r="B27" s="19"/>
      <c r="C27" s="19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6" ht="18.75" thickBot="1">
      <c r="A28" s="33" t="s">
        <v>23</v>
      </c>
      <c r="B28" s="28"/>
      <c r="C28" s="28"/>
      <c r="D28" s="28"/>
      <c r="E28" s="28"/>
      <c r="F28" s="28"/>
      <c r="G28" s="28"/>
      <c r="H28" s="28"/>
      <c r="I28" s="28"/>
      <c r="J28" s="19"/>
      <c r="K28" s="22"/>
      <c r="L28" s="22"/>
      <c r="M28" s="22"/>
    </row>
    <row r="29" spans="1:16" ht="15.75">
      <c r="A29" s="34"/>
      <c r="B29" s="15" t="s">
        <v>10</v>
      </c>
      <c r="C29" s="15" t="s">
        <v>11</v>
      </c>
      <c r="D29" s="15" t="s">
        <v>12</v>
      </c>
      <c r="E29" s="15" t="s">
        <v>13</v>
      </c>
      <c r="F29" s="15" t="s">
        <v>14</v>
      </c>
      <c r="G29" s="15" t="s">
        <v>15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 t="s">
        <v>20</v>
      </c>
      <c r="M29" s="16" t="s">
        <v>21</v>
      </c>
    </row>
    <row r="30" spans="1:16">
      <c r="A30" s="27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5"/>
    </row>
    <row r="31" spans="1:16" ht="15.75">
      <c r="A31" s="83" t="s">
        <v>33</v>
      </c>
      <c r="B31" s="24"/>
      <c r="C31" s="24"/>
      <c r="D31" s="26"/>
      <c r="E31" s="26"/>
      <c r="F31" s="26"/>
      <c r="G31" s="26"/>
      <c r="H31" s="26"/>
      <c r="I31" s="26"/>
      <c r="J31" s="26"/>
      <c r="K31" s="26"/>
      <c r="L31" s="26"/>
      <c r="M31" s="25"/>
    </row>
    <row r="32" spans="1:16" ht="15.75">
      <c r="A32" s="21" t="s">
        <v>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5"/>
    </row>
    <row r="33" spans="1:13" ht="15.75">
      <c r="A33" s="21" t="s">
        <v>7</v>
      </c>
      <c r="B33" s="26">
        <v>185668</v>
      </c>
      <c r="C33" s="26">
        <v>501101</v>
      </c>
      <c r="D33" s="26">
        <v>1447402</v>
      </c>
      <c r="E33" s="26">
        <v>2078269</v>
      </c>
      <c r="F33" s="26">
        <v>2709137</v>
      </c>
      <c r="G33" s="26">
        <v>3340004</v>
      </c>
      <c r="H33" s="26">
        <v>3970871</v>
      </c>
      <c r="I33" s="26">
        <v>4601738</v>
      </c>
      <c r="J33" s="26">
        <v>5548039</v>
      </c>
      <c r="K33" s="26">
        <v>6178906</v>
      </c>
      <c r="L33" s="26">
        <v>6809773</v>
      </c>
      <c r="M33" s="25">
        <v>7885840</v>
      </c>
    </row>
    <row r="34" spans="1:13" ht="15.75">
      <c r="A34" s="21" t="s">
        <v>8</v>
      </c>
      <c r="B34" s="26">
        <f>+B42</f>
        <v>177645</v>
      </c>
      <c r="C34" s="26">
        <f>+'Special 04-05 (template)'!C66:D66*'Special 05-06 (Original)'!$M$34</f>
        <v>630814.18209019816</v>
      </c>
      <c r="D34" s="26">
        <f>+'Special 04-05 (template)'!D66:E66*'Special 05-06 (Original)'!$M$34</f>
        <v>1298078.8066075866</v>
      </c>
      <c r="E34" s="26">
        <f>+'Special 04-05 (template)'!E66:F66*'Special 05-06 (Original)'!$M$34</f>
        <v>15273188.327747665</v>
      </c>
      <c r="F34" s="26">
        <f>+'Special 04-05 (template)'!F66:G66*'Special 05-06 (Original)'!$M$34</f>
        <v>16054834.011837514</v>
      </c>
      <c r="G34" s="26">
        <f>+'Special 04-05 (template)'!G66:H66*'Special 05-06 (Original)'!$M$34</f>
        <v>18894452.655832395</v>
      </c>
      <c r="H34" s="26">
        <f>+'Special 04-05 (template)'!H66:I66*'Special 05-06 (Original)'!$M$34</f>
        <v>20417454.845924694</v>
      </c>
      <c r="I34" s="26">
        <f>+'Special 04-05 (template)'!I66:J66*'Special 05-06 (Original)'!$M$34</f>
        <v>21783261.883741062</v>
      </c>
      <c r="J34" s="26">
        <f>+'Special 04-05 (template)'!J66:K66*'Special 05-06 (Original)'!$M$34</f>
        <v>23229246.702156805</v>
      </c>
      <c r="K34" s="26">
        <f>+'Special 04-05 (template)'!K66:L66*'Special 05-06 (Original)'!$M$34</f>
        <v>38393153.712098815</v>
      </c>
      <c r="L34" s="26">
        <f>+'Special 04-05 (template)'!L66:M66*'Special 05-06 (Original)'!$M$34</f>
        <v>40321007.772487327</v>
      </c>
      <c r="M34" s="25">
        <f>M36-M33</f>
        <v>43973894</v>
      </c>
    </row>
    <row r="35" spans="1:13">
      <c r="A35" s="27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5"/>
    </row>
    <row r="36" spans="1:13" ht="15.75">
      <c r="A36" s="21" t="s">
        <v>5</v>
      </c>
      <c r="B36" s="1">
        <f>+B33+B34</f>
        <v>363313</v>
      </c>
      <c r="C36" s="1">
        <f t="shared" ref="C36:L36" si="2">C33+C34</f>
        <v>1131915.1820901982</v>
      </c>
      <c r="D36" s="1">
        <f t="shared" si="2"/>
        <v>2745480.8066075863</v>
      </c>
      <c r="E36" s="1">
        <f t="shared" si="2"/>
        <v>17351457.327747665</v>
      </c>
      <c r="F36" s="1">
        <f t="shared" si="2"/>
        <v>18763971.011837512</v>
      </c>
      <c r="G36" s="1">
        <f t="shared" si="2"/>
        <v>22234456.655832395</v>
      </c>
      <c r="H36" s="1">
        <f t="shared" si="2"/>
        <v>24388325.845924694</v>
      </c>
      <c r="I36" s="1">
        <f t="shared" si="2"/>
        <v>26384999.883741062</v>
      </c>
      <c r="J36" s="1">
        <f t="shared" si="2"/>
        <v>28777285.702156805</v>
      </c>
      <c r="K36" s="1">
        <f t="shared" si="2"/>
        <v>44572059.712098815</v>
      </c>
      <c r="L36" s="1">
        <f t="shared" si="2"/>
        <v>47130780.772487327</v>
      </c>
      <c r="M36" s="2">
        <v>51859734</v>
      </c>
    </row>
    <row r="37" spans="1:13" ht="15.75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</row>
    <row r="38" spans="1:13" ht="15.7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</row>
    <row r="39" spans="1:13" ht="15.75">
      <c r="A39" s="52" t="s">
        <v>35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5"/>
    </row>
    <row r="40" spans="1:13" ht="15.75">
      <c r="A40" s="21" t="s">
        <v>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5"/>
    </row>
    <row r="41" spans="1:13" ht="15.75">
      <c r="A41" s="21" t="s">
        <v>7</v>
      </c>
      <c r="B41" s="26">
        <f>+B33</f>
        <v>185668</v>
      </c>
      <c r="C41" s="26">
        <f>152358+124555+B41</f>
        <v>462581</v>
      </c>
      <c r="D41" s="26">
        <f>295682-800+284226+334+286962+C41</f>
        <v>1328985</v>
      </c>
      <c r="E41" s="26">
        <f>291458-523+296951+D41</f>
        <v>1916871</v>
      </c>
      <c r="F41" s="26">
        <f>292211+314065+225+E41</f>
        <v>2523372</v>
      </c>
      <c r="G41" s="26"/>
      <c r="H41" s="26"/>
      <c r="I41" s="26"/>
      <c r="J41" s="26"/>
      <c r="K41" s="26"/>
      <c r="L41" s="26"/>
      <c r="M41" s="25"/>
    </row>
    <row r="42" spans="1:13" ht="15.75">
      <c r="A42" s="21" t="s">
        <v>8</v>
      </c>
      <c r="B42" s="26">
        <f>+B44-B41</f>
        <v>177645</v>
      </c>
      <c r="C42" s="26">
        <f>+C44-C41</f>
        <v>627893</v>
      </c>
      <c r="D42" s="26">
        <f>+D44-D41</f>
        <v>1435747</v>
      </c>
      <c r="E42" s="26">
        <f>+E44-E41</f>
        <v>15255119</v>
      </c>
      <c r="F42" s="26">
        <f>+F44-F41</f>
        <v>15928590</v>
      </c>
      <c r="G42" s="99"/>
      <c r="H42" s="26"/>
      <c r="I42" s="26"/>
      <c r="J42" s="26"/>
      <c r="K42" s="26"/>
      <c r="L42" s="26"/>
      <c r="M42" s="25"/>
    </row>
    <row r="43" spans="1:13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5"/>
    </row>
    <row r="44" spans="1:13" ht="16.5" thickBot="1">
      <c r="A44" s="32" t="s">
        <v>5</v>
      </c>
      <c r="B44" s="3">
        <v>363313</v>
      </c>
      <c r="C44" s="3">
        <v>1090474</v>
      </c>
      <c r="D44" s="3">
        <v>2764732</v>
      </c>
      <c r="E44" s="3">
        <v>17171990</v>
      </c>
      <c r="F44" s="3">
        <v>18451962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4">
        <v>0</v>
      </c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>
      <c r="J47" s="13"/>
      <c r="K47" s="13"/>
      <c r="L47" s="13"/>
      <c r="M47" s="13"/>
    </row>
    <row r="48" spans="1:13" ht="15.7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>
      <c r="A49" s="13"/>
      <c r="B49" s="13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>
      <c r="A51" s="13"/>
      <c r="B51" s="13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>
      <c r="A53" s="13"/>
      <c r="B53" s="13"/>
      <c r="C53" s="13"/>
      <c r="D53" s="13"/>
      <c r="E53" s="13"/>
      <c r="F53" s="13"/>
      <c r="G53" s="13"/>
      <c r="H53" s="13"/>
      <c r="I53" s="13"/>
    </row>
    <row r="61" spans="1:13" ht="15.75">
      <c r="A61" s="12"/>
      <c r="B61" s="35"/>
      <c r="C61" s="35"/>
      <c r="D61" s="35"/>
      <c r="E61" s="35"/>
      <c r="F61" s="35"/>
      <c r="G61" s="35"/>
      <c r="H61" s="35"/>
    </row>
    <row r="62" spans="1:13" ht="15.75">
      <c r="A62" s="12"/>
      <c r="B62" s="35"/>
      <c r="C62" s="35"/>
      <c r="D62" s="35"/>
      <c r="E62" s="35"/>
      <c r="F62" s="35"/>
      <c r="G62" s="35"/>
      <c r="H62" s="35"/>
    </row>
    <row r="63" spans="1:13" ht="15.75">
      <c r="A63" s="12"/>
      <c r="B63" s="35"/>
      <c r="C63" s="35"/>
      <c r="D63" s="35"/>
      <c r="E63" s="35"/>
      <c r="F63" s="35"/>
      <c r="G63" s="35"/>
      <c r="H63" s="35"/>
    </row>
    <row r="64" spans="1:13" ht="15.75">
      <c r="A64" s="12"/>
      <c r="B64" s="35"/>
      <c r="C64" s="35"/>
      <c r="D64" s="35"/>
      <c r="E64" s="35"/>
      <c r="F64" s="35"/>
      <c r="G64" s="35"/>
      <c r="H64" s="35"/>
    </row>
    <row r="65" spans="1:8" ht="15.75">
      <c r="A65" s="12"/>
      <c r="B65" s="35"/>
      <c r="C65" s="35"/>
      <c r="D65" s="35"/>
      <c r="E65" s="35"/>
      <c r="F65" s="35"/>
      <c r="G65" s="35"/>
      <c r="H65" s="35"/>
    </row>
    <row r="66" spans="1:8" ht="15.75">
      <c r="A66" s="12"/>
      <c r="B66" s="35"/>
      <c r="C66" s="35"/>
      <c r="D66" s="35"/>
      <c r="E66" s="35"/>
      <c r="F66" s="35"/>
      <c r="G66" s="35"/>
      <c r="H66" s="35"/>
    </row>
    <row r="67" spans="1:8" ht="12.95" customHeight="1">
      <c r="A67" s="12"/>
      <c r="B67" s="35"/>
      <c r="C67" s="35"/>
      <c r="D67" s="35"/>
      <c r="E67" s="35"/>
      <c r="F67" s="35"/>
      <c r="G67" s="35"/>
      <c r="H67" s="35"/>
    </row>
    <row r="68" spans="1:8" ht="15.75">
      <c r="A68" s="12"/>
      <c r="B68" s="35"/>
      <c r="C68" s="35"/>
      <c r="D68" s="35"/>
      <c r="E68" s="35"/>
      <c r="F68" s="35"/>
      <c r="G68" s="35"/>
      <c r="H68" s="35"/>
    </row>
    <row r="69" spans="1:8" ht="15.75">
      <c r="A69" s="12"/>
      <c r="B69" s="35"/>
      <c r="C69" s="35"/>
      <c r="D69" s="35"/>
      <c r="E69" s="35"/>
      <c r="F69" s="35"/>
      <c r="G69" s="35"/>
      <c r="H69" s="35"/>
    </row>
    <row r="70" spans="1:8" ht="15.75">
      <c r="A70" s="12"/>
      <c r="B70" s="35"/>
      <c r="C70" s="35"/>
      <c r="D70" s="35"/>
      <c r="E70" s="35"/>
      <c r="F70" s="35"/>
      <c r="G70" s="35"/>
      <c r="H70" s="35"/>
    </row>
    <row r="71" spans="1:8" ht="15.75">
      <c r="A71" s="12"/>
      <c r="B71" s="35"/>
      <c r="C71" s="35"/>
      <c r="D71" s="35"/>
      <c r="E71" s="35"/>
      <c r="F71" s="35"/>
      <c r="G71" s="35"/>
      <c r="H71" s="35"/>
    </row>
    <row r="72" spans="1:8" ht="15.75">
      <c r="A72" s="12"/>
      <c r="B72" s="35"/>
      <c r="C72" s="35"/>
      <c r="D72" s="35"/>
      <c r="E72" s="35"/>
      <c r="F72" s="35"/>
      <c r="G72" s="35"/>
      <c r="H72" s="35"/>
    </row>
    <row r="73" spans="1:8" ht="15.75">
      <c r="A73" s="12"/>
      <c r="B73" s="35"/>
      <c r="C73" s="35"/>
      <c r="D73" s="35"/>
      <c r="E73" s="35"/>
      <c r="F73" s="35"/>
      <c r="G73" s="35"/>
      <c r="H73" s="35"/>
    </row>
    <row r="86" spans="1:5">
      <c r="D86" s="7">
        <v>2</v>
      </c>
    </row>
    <row r="95" spans="1:5" ht="15.75">
      <c r="A95" s="12"/>
      <c r="B95" s="12"/>
      <c r="C95" s="13"/>
      <c r="D95" s="13"/>
      <c r="E95" s="13"/>
    </row>
    <row r="97" spans="1:8" ht="15.75">
      <c r="A97" s="12"/>
      <c r="B97" s="12"/>
      <c r="C97" s="12"/>
      <c r="D97" s="12"/>
      <c r="E97" s="12"/>
      <c r="F97" s="12"/>
      <c r="G97" s="13"/>
      <c r="H97" s="13"/>
    </row>
    <row r="98" spans="1:8" ht="15.75">
      <c r="A98" s="12"/>
      <c r="B98" s="12"/>
      <c r="C98" s="12"/>
      <c r="D98" s="12"/>
      <c r="E98" s="12"/>
      <c r="F98" s="12"/>
      <c r="G98" s="13"/>
      <c r="H98" s="13"/>
    </row>
    <row r="99" spans="1:8" ht="15.75">
      <c r="A99" s="12"/>
      <c r="B99" s="12"/>
      <c r="C99" s="12"/>
      <c r="D99" s="12"/>
      <c r="E99" s="12"/>
      <c r="F99" s="12"/>
      <c r="G99" s="13"/>
      <c r="H99" s="13"/>
    </row>
    <row r="103" spans="1:8" ht="15.75">
      <c r="A103" s="12"/>
      <c r="C103" s="13" t="s">
        <v>9</v>
      </c>
      <c r="D103" s="13"/>
      <c r="E103" s="13"/>
      <c r="F103" s="36">
        <v>19696611</v>
      </c>
    </row>
  </sheetData>
  <phoneticPr fontId="13" type="noConversion"/>
  <printOptions horizontalCentered="1" verticalCentered="1"/>
  <pageMargins left="0.5" right="0.5" top="0.5" bottom="0.5" header="0.5" footer="0.5"/>
  <pageSetup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7"/>
  <sheetViews>
    <sheetView defaultGridColor="0" topLeftCell="A28" colorId="22" zoomScale="87" workbookViewId="0">
      <selection activeCell="J71" sqref="J71"/>
    </sheetView>
  </sheetViews>
  <sheetFormatPr defaultColWidth="12.5703125" defaultRowHeight="15"/>
  <cols>
    <col min="1" max="1" width="22.85546875" style="69" customWidth="1"/>
    <col min="2" max="2" width="12.5703125" style="69"/>
    <col min="3" max="4" width="14.5703125" style="69" bestFit="1" customWidth="1"/>
    <col min="5" max="5" width="14.5703125" style="69" customWidth="1"/>
    <col min="6" max="6" width="16.42578125" style="69" customWidth="1"/>
    <col min="7" max="7" width="14.5703125" style="69" customWidth="1"/>
    <col min="8" max="8" width="15.85546875" style="69" customWidth="1"/>
    <col min="9" max="9" width="16" style="69" customWidth="1"/>
    <col min="10" max="10" width="15.5703125" style="69" customWidth="1"/>
    <col min="11" max="11" width="16" style="69" customWidth="1"/>
    <col min="12" max="12" width="16.140625" style="69" customWidth="1"/>
    <col min="13" max="13" width="15.85546875" style="69" customWidth="1"/>
    <col min="14" max="16384" width="12.5703125" style="69"/>
  </cols>
  <sheetData>
    <row r="1" spans="1:36" ht="20.25">
      <c r="A1" s="37" t="s">
        <v>31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</row>
    <row r="2" spans="1:36" ht="18.75">
      <c r="A2" s="70" t="s">
        <v>0</v>
      </c>
      <c r="B2" s="71"/>
      <c r="C2" s="72"/>
      <c r="D2" s="67"/>
      <c r="E2" s="68"/>
      <c r="F2" s="68"/>
      <c r="G2" s="68"/>
      <c r="H2" s="68"/>
      <c r="I2" s="68"/>
      <c r="J2" s="68"/>
      <c r="K2" s="68"/>
      <c r="L2" s="68"/>
      <c r="M2" s="68"/>
    </row>
    <row r="5" spans="1:36" ht="18.75" thickBot="1">
      <c r="A5" s="73" t="s">
        <v>22</v>
      </c>
      <c r="B5" s="74"/>
      <c r="C5" s="74"/>
      <c r="D5" s="75"/>
      <c r="E5" s="75"/>
      <c r="F5" s="75"/>
      <c r="G5" s="75"/>
      <c r="H5" s="75"/>
      <c r="I5" s="76"/>
      <c r="J5" s="76"/>
      <c r="K5" s="76"/>
      <c r="L5" s="76"/>
      <c r="M5" s="76"/>
    </row>
    <row r="6" spans="1:36" ht="15.75">
      <c r="A6" s="77"/>
      <c r="B6" s="78" t="s">
        <v>10</v>
      </c>
      <c r="C6" s="78" t="s">
        <v>11</v>
      </c>
      <c r="D6" s="78" t="s">
        <v>12</v>
      </c>
      <c r="E6" s="78" t="s">
        <v>13</v>
      </c>
      <c r="F6" s="78" t="s">
        <v>14</v>
      </c>
      <c r="G6" s="78" t="s">
        <v>15</v>
      </c>
      <c r="H6" s="78" t="s">
        <v>16</v>
      </c>
      <c r="I6" s="78" t="s">
        <v>17</v>
      </c>
      <c r="J6" s="78" t="s">
        <v>18</v>
      </c>
      <c r="K6" s="78" t="s">
        <v>19</v>
      </c>
      <c r="L6" s="78" t="s">
        <v>20</v>
      </c>
      <c r="M6" s="79" t="s">
        <v>21</v>
      </c>
    </row>
    <row r="7" spans="1:36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36" ht="15.75" hidden="1">
      <c r="A8" s="83" t="s">
        <v>29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36" ht="15.75" hidden="1">
      <c r="A9" s="84" t="s">
        <v>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36" ht="15.75" hidden="1">
      <c r="A10" s="84" t="s">
        <v>2</v>
      </c>
      <c r="B10" s="87">
        <v>333218</v>
      </c>
      <c r="C10" s="87">
        <f>+M10*0.2</f>
        <v>2315535.4</v>
      </c>
      <c r="D10" s="87">
        <f>+M10*0.68</f>
        <v>7872820.3600000003</v>
      </c>
      <c r="E10" s="87">
        <f>+M10*0.77</f>
        <v>8914811.290000001</v>
      </c>
      <c r="F10" s="87">
        <f>+M10*0.78</f>
        <v>9030588.0600000005</v>
      </c>
      <c r="G10" s="87">
        <f>+M10*0.8</f>
        <v>9262141.5999999996</v>
      </c>
      <c r="H10" s="87">
        <f>+M10*0.84</f>
        <v>9725248.6799999997</v>
      </c>
      <c r="I10" s="87">
        <f>+M10*0.87</f>
        <v>10072578.99</v>
      </c>
      <c r="J10" s="87">
        <f>+M10*0.9</f>
        <v>10419909.300000001</v>
      </c>
      <c r="K10" s="87">
        <f>+M10*0.97</f>
        <v>11230346.689999999</v>
      </c>
      <c r="L10" s="87">
        <f>+M10*0.98</f>
        <v>11346123.459999999</v>
      </c>
      <c r="M10" s="86">
        <v>11577677</v>
      </c>
    </row>
    <row r="11" spans="1:36" ht="15.75" hidden="1">
      <c r="A11" s="84" t="s">
        <v>3</v>
      </c>
      <c r="B11" s="85">
        <v>62</v>
      </c>
      <c r="C11" s="85">
        <f>+B11</f>
        <v>62</v>
      </c>
      <c r="D11" s="85">
        <f>+C11</f>
        <v>62</v>
      </c>
      <c r="E11" s="85">
        <f t="shared" ref="E11:L11" si="0">61314+D11</f>
        <v>61376</v>
      </c>
      <c r="F11" s="85">
        <f t="shared" si="0"/>
        <v>122690</v>
      </c>
      <c r="G11" s="85">
        <f t="shared" si="0"/>
        <v>184004</v>
      </c>
      <c r="H11" s="85">
        <f t="shared" si="0"/>
        <v>245318</v>
      </c>
      <c r="I11" s="85">
        <f t="shared" si="0"/>
        <v>306632</v>
      </c>
      <c r="J11" s="85">
        <f t="shared" si="0"/>
        <v>367946</v>
      </c>
      <c r="K11" s="85">
        <f t="shared" si="0"/>
        <v>429260</v>
      </c>
      <c r="L11" s="85">
        <f t="shared" si="0"/>
        <v>490574</v>
      </c>
      <c r="M11" s="86">
        <v>675452</v>
      </c>
    </row>
    <row r="12" spans="1:36" ht="15.75" hidden="1">
      <c r="A12" s="84" t="s">
        <v>4</v>
      </c>
      <c r="B12" s="85">
        <v>0</v>
      </c>
      <c r="C12" s="85">
        <v>0</v>
      </c>
      <c r="D12" s="85">
        <f>+M12*0.01</f>
        <v>5325.96</v>
      </c>
      <c r="E12" s="85">
        <f>+M12*0.02</f>
        <v>10651.92</v>
      </c>
      <c r="F12" s="85">
        <f>+M12*0.025</f>
        <v>13314.900000000001</v>
      </c>
      <c r="G12" s="85">
        <f>+M12*0.04</f>
        <v>21303.84</v>
      </c>
      <c r="H12" s="85">
        <f>+M12*0.045</f>
        <v>23966.82</v>
      </c>
      <c r="I12" s="85">
        <f>+M12*0.52</f>
        <v>276949.92</v>
      </c>
      <c r="J12" s="85">
        <f>+M12*0.61</f>
        <v>324883.56</v>
      </c>
      <c r="K12" s="85">
        <f>+M12*0.72</f>
        <v>383469.12</v>
      </c>
      <c r="L12" s="85">
        <f>+M12*0.79</f>
        <v>420750.84</v>
      </c>
      <c r="M12" s="86">
        <v>532596</v>
      </c>
    </row>
    <row r="13" spans="1:36" ht="15.75" hidden="1">
      <c r="A13" s="84" t="s">
        <v>25</v>
      </c>
      <c r="B13" s="85">
        <v>0</v>
      </c>
      <c r="C13" s="85">
        <v>0</v>
      </c>
      <c r="D13" s="85">
        <v>0</v>
      </c>
      <c r="E13" s="85">
        <f>M13*0.0047</f>
        <v>0</v>
      </c>
      <c r="F13" s="85">
        <f>M13*0.0047</f>
        <v>0</v>
      </c>
      <c r="G13" s="85">
        <f>M13*0.0047</f>
        <v>0</v>
      </c>
      <c r="H13" s="85">
        <f>M13*0.0047</f>
        <v>0</v>
      </c>
      <c r="I13" s="85">
        <f>M13*0.4233</f>
        <v>0</v>
      </c>
      <c r="J13" s="85">
        <f>M13*0.4557</f>
        <v>0</v>
      </c>
      <c r="K13" s="85">
        <f>M13*0.994</f>
        <v>0</v>
      </c>
      <c r="L13" s="85">
        <f>M13*0.994</f>
        <v>0</v>
      </c>
      <c r="M13" s="86">
        <v>0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 hidden="1">
      <c r="A14" s="8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36" ht="15.75" hidden="1">
      <c r="A15" s="84" t="s">
        <v>5</v>
      </c>
      <c r="B15" s="1">
        <f t="shared" ref="B15:M15" si="1">SUM(B10:B14)</f>
        <v>333280</v>
      </c>
      <c r="C15" s="1">
        <f t="shared" si="1"/>
        <v>2315597.4</v>
      </c>
      <c r="D15" s="1">
        <f t="shared" si="1"/>
        <v>7878208.3200000003</v>
      </c>
      <c r="E15" s="1">
        <f t="shared" si="1"/>
        <v>8986839.2100000009</v>
      </c>
      <c r="F15" s="1">
        <f t="shared" si="1"/>
        <v>9166592.9600000009</v>
      </c>
      <c r="G15" s="1">
        <f t="shared" si="1"/>
        <v>9467449.4399999995</v>
      </c>
      <c r="H15" s="1">
        <f t="shared" si="1"/>
        <v>9994533.5</v>
      </c>
      <c r="I15" s="1">
        <f t="shared" si="1"/>
        <v>10656160.91</v>
      </c>
      <c r="J15" s="1">
        <f t="shared" si="1"/>
        <v>11112738.860000001</v>
      </c>
      <c r="K15" s="1">
        <f t="shared" si="1"/>
        <v>12043075.809999999</v>
      </c>
      <c r="L15" s="1">
        <f t="shared" si="1"/>
        <v>12257448.299999999</v>
      </c>
      <c r="M15" s="2">
        <f t="shared" si="1"/>
        <v>12785725</v>
      </c>
    </row>
    <row r="16" spans="1:36" ht="15.75" hidden="1">
      <c r="A16" s="8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 hidden="1">
      <c r="A17" s="8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 hidden="1">
      <c r="A18" s="52" t="s">
        <v>32</v>
      </c>
      <c r="B18" s="1"/>
      <c r="C18" s="1"/>
      <c r="D18" s="1"/>
      <c r="E18" s="1"/>
      <c r="F18" s="101"/>
      <c r="G18" s="101"/>
      <c r="H18" s="102"/>
      <c r="I18" s="1"/>
      <c r="J18" s="1"/>
      <c r="K18" s="1"/>
      <c r="L18" s="1"/>
      <c r="M18" s="2"/>
    </row>
    <row r="19" spans="1:16" ht="15.75" hidden="1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 hidden="1">
      <c r="A20" s="84" t="s">
        <v>2</v>
      </c>
      <c r="B20" s="87">
        <v>333218</v>
      </c>
      <c r="C20" s="87">
        <v>2149211</v>
      </c>
      <c r="D20" s="87">
        <v>8227858</v>
      </c>
      <c r="E20" s="89">
        <v>8715074</v>
      </c>
      <c r="F20" s="87">
        <v>9164512</v>
      </c>
      <c r="G20" s="87">
        <v>9513148</v>
      </c>
      <c r="H20" s="87">
        <v>9909256</v>
      </c>
      <c r="I20" s="89">
        <v>10217479</v>
      </c>
      <c r="J20" s="89">
        <v>10434810</v>
      </c>
      <c r="K20" s="89">
        <v>11248072</v>
      </c>
      <c r="L20" s="87">
        <f>+M20*98%</f>
        <v>11409670.58</v>
      </c>
      <c r="M20" s="86">
        <v>11642521</v>
      </c>
    </row>
    <row r="21" spans="1:16" ht="15.75" hidden="1">
      <c r="A21" s="84" t="s">
        <v>3</v>
      </c>
      <c r="B21" s="85">
        <v>62</v>
      </c>
      <c r="C21" s="85">
        <v>86</v>
      </c>
      <c r="D21" s="85">
        <v>132</v>
      </c>
      <c r="E21" s="91">
        <v>55064</v>
      </c>
      <c r="F21" s="85">
        <v>109742</v>
      </c>
      <c r="G21" s="85">
        <v>164489</v>
      </c>
      <c r="H21" s="85">
        <v>219320</v>
      </c>
      <c r="I21" s="91">
        <v>274681</v>
      </c>
      <c r="J21" s="91">
        <v>330789</v>
      </c>
      <c r="K21" s="91">
        <v>385790</v>
      </c>
      <c r="L21" s="85">
        <f>+K21+54828</f>
        <v>440618</v>
      </c>
      <c r="M21" s="86">
        <v>605101</v>
      </c>
    </row>
    <row r="22" spans="1:16" ht="15.75" hidden="1">
      <c r="A22" s="84" t="s">
        <v>4</v>
      </c>
      <c r="B22" s="85">
        <v>0</v>
      </c>
      <c r="C22" s="85">
        <v>0</v>
      </c>
      <c r="D22" s="85">
        <v>1072</v>
      </c>
      <c r="E22" s="91">
        <v>5851</v>
      </c>
      <c r="F22" s="85">
        <v>99114</v>
      </c>
      <c r="G22" s="85">
        <v>106082</v>
      </c>
      <c r="H22" s="85">
        <v>187929</v>
      </c>
      <c r="I22" s="91">
        <v>192907</v>
      </c>
      <c r="J22" s="91">
        <v>251628</v>
      </c>
      <c r="K22" s="91">
        <v>306657</v>
      </c>
      <c r="L22" s="85">
        <f>+K22+25481</f>
        <v>332138</v>
      </c>
      <c r="M22" s="86">
        <v>542349</v>
      </c>
    </row>
    <row r="23" spans="1:16" ht="15.75" hidden="1">
      <c r="A23" s="84" t="s">
        <v>25</v>
      </c>
      <c r="B23" s="85">
        <v>0</v>
      </c>
      <c r="C23" s="91">
        <v>0</v>
      </c>
      <c r="D23" s="91">
        <v>6547</v>
      </c>
      <c r="E23" s="91">
        <v>12513</v>
      </c>
      <c r="F23" s="85">
        <v>12513</v>
      </c>
      <c r="G23" s="85">
        <v>15846</v>
      </c>
      <c r="H23" s="85">
        <v>17906</v>
      </c>
      <c r="I23" s="91">
        <v>17906</v>
      </c>
      <c r="J23" s="91">
        <v>17906</v>
      </c>
      <c r="K23" s="91">
        <v>17906</v>
      </c>
      <c r="L23" s="85">
        <f>+K23</f>
        <v>17906</v>
      </c>
      <c r="M23" s="86">
        <v>17906</v>
      </c>
    </row>
    <row r="24" spans="1:16" hidden="1">
      <c r="A24" s="8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6" ht="15.75" hidden="1">
      <c r="A25" s="84" t="s">
        <v>5</v>
      </c>
      <c r="B25" s="1">
        <f t="shared" ref="B25:M25" si="2">SUM(B20:B24)</f>
        <v>333280</v>
      </c>
      <c r="C25" s="1">
        <f t="shared" si="2"/>
        <v>2149297</v>
      </c>
      <c r="D25" s="1">
        <f t="shared" si="2"/>
        <v>8235609</v>
      </c>
      <c r="E25" s="1">
        <f t="shared" si="2"/>
        <v>8788502</v>
      </c>
      <c r="F25" s="1">
        <f t="shared" si="2"/>
        <v>9385881</v>
      </c>
      <c r="G25" s="1">
        <f t="shared" si="2"/>
        <v>9799565</v>
      </c>
      <c r="H25" s="1">
        <f t="shared" si="2"/>
        <v>10334411</v>
      </c>
      <c r="I25" s="1">
        <f t="shared" si="2"/>
        <v>10702973</v>
      </c>
      <c r="J25" s="1">
        <f t="shared" si="2"/>
        <v>11035133</v>
      </c>
      <c r="K25" s="1">
        <f t="shared" si="2"/>
        <v>11958425</v>
      </c>
      <c r="L25" s="1">
        <f t="shared" si="2"/>
        <v>12200332.58</v>
      </c>
      <c r="M25" s="2">
        <f t="shared" si="2"/>
        <v>12807877</v>
      </c>
    </row>
    <row r="26" spans="1:16" ht="15.75" hidden="1">
      <c r="A26" s="8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 hidden="1">
      <c r="A27" s="8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30</v>
      </c>
      <c r="B28" s="87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6" ht="15.75">
      <c r="A29" s="84" t="s">
        <v>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6" ht="15.75">
      <c r="A30" s="84" t="s">
        <v>2</v>
      </c>
      <c r="B30" s="87">
        <v>333218</v>
      </c>
      <c r="C30" s="87">
        <v>2149211</v>
      </c>
      <c r="D30" s="87">
        <v>8227858</v>
      </c>
      <c r="E30" s="89">
        <v>8715074</v>
      </c>
      <c r="F30" s="87">
        <v>9164512</v>
      </c>
      <c r="G30" s="87">
        <v>9513148</v>
      </c>
      <c r="H30" s="87">
        <v>9909256</v>
      </c>
      <c r="I30" s="89">
        <v>10217479</v>
      </c>
      <c r="J30" s="89">
        <v>10434810</v>
      </c>
      <c r="K30" s="89">
        <v>11248072</v>
      </c>
      <c r="L30" s="89">
        <v>11440815</v>
      </c>
      <c r="M30" s="90">
        <v>11706579</v>
      </c>
      <c r="N30" s="76"/>
      <c r="O30" s="76"/>
      <c r="P30" s="76"/>
    </row>
    <row r="31" spans="1:16" ht="15.75">
      <c r="A31" s="84"/>
      <c r="B31" s="108">
        <f>+B30/$M$30</f>
        <v>2.8464165321055793E-2</v>
      </c>
      <c r="C31" s="108">
        <f t="shared" ref="C31:M31" si="3">+C30/$M$30</f>
        <v>0.18359001378626497</v>
      </c>
      <c r="D31" s="108">
        <f t="shared" si="3"/>
        <v>0.70284051386831281</v>
      </c>
      <c r="E31" s="108">
        <f t="shared" si="3"/>
        <v>0.74445950435221087</v>
      </c>
      <c r="F31" s="108">
        <f t="shared" si="3"/>
        <v>0.78285142055591139</v>
      </c>
      <c r="G31" s="108">
        <f t="shared" si="3"/>
        <v>0.8126326230745976</v>
      </c>
      <c r="H31" s="108">
        <f t="shared" si="3"/>
        <v>0.84646898124550307</v>
      </c>
      <c r="I31" s="108">
        <f t="shared" si="3"/>
        <v>0.87279802237698989</v>
      </c>
      <c r="J31" s="108">
        <f t="shared" si="3"/>
        <v>0.89136288235871475</v>
      </c>
      <c r="K31" s="108">
        <f t="shared" si="3"/>
        <v>0.96083339120677358</v>
      </c>
      <c r="L31" s="108">
        <f t="shared" si="3"/>
        <v>0.9772978937740906</v>
      </c>
      <c r="M31" s="108">
        <f t="shared" si="3"/>
        <v>1</v>
      </c>
      <c r="N31" s="76"/>
      <c r="O31" s="76"/>
      <c r="P31" s="76"/>
    </row>
    <row r="32" spans="1:16" ht="15.75">
      <c r="A32" s="84" t="s">
        <v>3</v>
      </c>
      <c r="B32" s="85">
        <v>62</v>
      </c>
      <c r="C32" s="85">
        <v>86</v>
      </c>
      <c r="D32" s="85">
        <v>132</v>
      </c>
      <c r="E32" s="91">
        <v>55064</v>
      </c>
      <c r="F32" s="85">
        <v>109742</v>
      </c>
      <c r="G32" s="85">
        <v>164489</v>
      </c>
      <c r="H32" s="85">
        <v>219320</v>
      </c>
      <c r="I32" s="91">
        <v>274681</v>
      </c>
      <c r="J32" s="91">
        <v>330789</v>
      </c>
      <c r="K32" s="91">
        <v>385790</v>
      </c>
      <c r="L32" s="91">
        <v>440532</v>
      </c>
      <c r="M32" s="86">
        <v>516472</v>
      </c>
    </row>
    <row r="33" spans="1:13" ht="15.75">
      <c r="A33" s="84"/>
      <c r="B33" s="108">
        <f>+B32/$M$32</f>
        <v>1.2004522994470174E-4</v>
      </c>
      <c r="C33" s="108">
        <f t="shared" ref="C33:M33" si="4">+C32/$M$32</f>
        <v>1.6651435121361856E-4</v>
      </c>
      <c r="D33" s="108">
        <f t="shared" si="4"/>
        <v>2.5558016697904245E-4</v>
      </c>
      <c r="E33" s="108">
        <f t="shared" si="4"/>
        <v>0.10661565389798479</v>
      </c>
      <c r="F33" s="108">
        <f t="shared" si="4"/>
        <v>0.21248392942889449</v>
      </c>
      <c r="G33" s="108">
        <f t="shared" si="4"/>
        <v>0.31848580368345236</v>
      </c>
      <c r="H33" s="108">
        <f t="shared" si="4"/>
        <v>0.42465031986245139</v>
      </c>
      <c r="I33" s="108">
        <f t="shared" si="4"/>
        <v>0.53184102913613907</v>
      </c>
      <c r="J33" s="108">
        <f t="shared" si="4"/>
        <v>0.64047808980932175</v>
      </c>
      <c r="K33" s="108">
        <f t="shared" si="4"/>
        <v>0.74697176226397555</v>
      </c>
      <c r="L33" s="108">
        <f t="shared" si="4"/>
        <v>0.85296395545160242</v>
      </c>
      <c r="M33" s="108">
        <f t="shared" si="4"/>
        <v>1</v>
      </c>
    </row>
    <row r="34" spans="1:13" ht="15.75">
      <c r="A34" s="84" t="s">
        <v>4</v>
      </c>
      <c r="B34" s="85">
        <v>0</v>
      </c>
      <c r="C34" s="85">
        <v>0</v>
      </c>
      <c r="D34" s="85">
        <v>1072</v>
      </c>
      <c r="E34" s="91">
        <v>5851</v>
      </c>
      <c r="F34" s="85">
        <v>99114</v>
      </c>
      <c r="G34" s="85">
        <v>106082</v>
      </c>
      <c r="H34" s="85">
        <v>187929</v>
      </c>
      <c r="I34" s="91">
        <v>192907</v>
      </c>
      <c r="J34" s="91">
        <v>251628</v>
      </c>
      <c r="K34" s="91">
        <v>306657</v>
      </c>
      <c r="L34" s="91">
        <v>310141</v>
      </c>
      <c r="M34" s="86">
        <v>439976</v>
      </c>
    </row>
    <row r="35" spans="1:13" ht="15.75">
      <c r="A35" s="84"/>
      <c r="B35" s="108">
        <f>+B34/$M$34</f>
        <v>0</v>
      </c>
      <c r="C35" s="108">
        <f t="shared" ref="C35:M35" si="5">+C34/$M$34</f>
        <v>0</v>
      </c>
      <c r="D35" s="108">
        <f t="shared" si="5"/>
        <v>2.4364965361747004E-3</v>
      </c>
      <c r="E35" s="108">
        <f t="shared" si="5"/>
        <v>1.3298452642871429E-2</v>
      </c>
      <c r="F35" s="108">
        <f t="shared" si="5"/>
        <v>0.22527137843882394</v>
      </c>
      <c r="G35" s="108">
        <f t="shared" si="5"/>
        <v>0.2411086059239595</v>
      </c>
      <c r="H35" s="108">
        <f t="shared" si="5"/>
        <v>0.42713466189064858</v>
      </c>
      <c r="I35" s="108">
        <f t="shared" si="5"/>
        <v>0.43844891539538522</v>
      </c>
      <c r="J35" s="108">
        <f t="shared" si="5"/>
        <v>0.57191301343709655</v>
      </c>
      <c r="K35" s="108">
        <f t="shared" si="5"/>
        <v>0.69698574467698238</v>
      </c>
      <c r="L35" s="108">
        <f t="shared" si="5"/>
        <v>0.70490435841955013</v>
      </c>
      <c r="M35" s="108">
        <f t="shared" si="5"/>
        <v>1</v>
      </c>
    </row>
    <row r="36" spans="1:13" ht="15.75">
      <c r="A36" s="84" t="s">
        <v>25</v>
      </c>
      <c r="B36" s="85">
        <v>0</v>
      </c>
      <c r="C36" s="91">
        <v>0</v>
      </c>
      <c r="D36" s="91">
        <v>6547</v>
      </c>
      <c r="E36" s="91">
        <v>12513</v>
      </c>
      <c r="F36" s="85">
        <v>12513</v>
      </c>
      <c r="G36" s="85">
        <v>15846</v>
      </c>
      <c r="H36" s="85">
        <v>17906</v>
      </c>
      <c r="I36" s="91">
        <v>17906</v>
      </c>
      <c r="J36" s="91">
        <v>17906</v>
      </c>
      <c r="K36" s="91">
        <v>17906</v>
      </c>
      <c r="L36" s="91">
        <v>17906</v>
      </c>
      <c r="M36" s="86">
        <v>17906</v>
      </c>
    </row>
    <row r="37" spans="1:13" ht="15.75">
      <c r="A37" s="84"/>
      <c r="B37" s="108">
        <f>+B36/$M$36</f>
        <v>0</v>
      </c>
      <c r="C37" s="108">
        <f t="shared" ref="C37:M37" si="6">+C36/$M$36</f>
        <v>0</v>
      </c>
      <c r="D37" s="108">
        <f t="shared" si="6"/>
        <v>0.36563163185524405</v>
      </c>
      <c r="E37" s="108">
        <f t="shared" si="6"/>
        <v>0.69881603931643022</v>
      </c>
      <c r="F37" s="108">
        <f t="shared" si="6"/>
        <v>0.69881603931643022</v>
      </c>
      <c r="G37" s="108">
        <f t="shared" si="6"/>
        <v>0.88495476376633531</v>
      </c>
      <c r="H37" s="108">
        <f t="shared" si="6"/>
        <v>1</v>
      </c>
      <c r="I37" s="108">
        <f t="shared" si="6"/>
        <v>1</v>
      </c>
      <c r="J37" s="108">
        <f t="shared" si="6"/>
        <v>1</v>
      </c>
      <c r="K37" s="108">
        <f t="shared" si="6"/>
        <v>1</v>
      </c>
      <c r="L37" s="108">
        <f t="shared" si="6"/>
        <v>1</v>
      </c>
      <c r="M37" s="108">
        <f t="shared" si="6"/>
        <v>1</v>
      </c>
    </row>
    <row r="38" spans="1:13">
      <c r="A38" s="88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3" ht="16.5" thickBot="1">
      <c r="A39" s="92" t="s">
        <v>5</v>
      </c>
      <c r="B39" s="3">
        <f t="shared" ref="B39:L39" si="7">SUM(B30:B38)</f>
        <v>333280.02858421055</v>
      </c>
      <c r="C39" s="3">
        <f t="shared" si="7"/>
        <v>2149297.1837565284</v>
      </c>
      <c r="D39" s="3">
        <f t="shared" si="7"/>
        <v>8235610.0711642215</v>
      </c>
      <c r="E39" s="3">
        <f t="shared" si="7"/>
        <v>8788503.5631896481</v>
      </c>
      <c r="F39" s="3">
        <f t="shared" si="7"/>
        <v>9385882.9194227662</v>
      </c>
      <c r="G39" s="3">
        <f t="shared" si="7"/>
        <v>9799567.2571817953</v>
      </c>
      <c r="H39" s="3">
        <f t="shared" si="7"/>
        <v>10334413.698253963</v>
      </c>
      <c r="I39" s="3">
        <f t="shared" si="7"/>
        <v>10702975.843087966</v>
      </c>
      <c r="J39" s="3">
        <f t="shared" si="7"/>
        <v>11035136.103753986</v>
      </c>
      <c r="K39" s="3">
        <f t="shared" si="7"/>
        <v>11958428.404790897</v>
      </c>
      <c r="L39" s="3">
        <f t="shared" si="7"/>
        <v>12209397.53516621</v>
      </c>
      <c r="M39" s="4">
        <f>+M30+M32+M34+M36</f>
        <v>12680933</v>
      </c>
    </row>
    <row r="40" spans="1:13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>
      <c r="A41" s="94"/>
      <c r="B41" s="95"/>
      <c r="C41" s="95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3" ht="18.75" thickBot="1">
      <c r="A42" s="96" t="s">
        <v>23</v>
      </c>
      <c r="B42" s="94"/>
      <c r="C42" s="94"/>
      <c r="D42" s="94"/>
      <c r="E42" s="94"/>
      <c r="F42" s="94"/>
      <c r="G42" s="94"/>
      <c r="H42" s="94"/>
      <c r="I42" s="94"/>
      <c r="J42" s="95"/>
      <c r="K42" s="93"/>
      <c r="L42" s="93"/>
      <c r="M42" s="93"/>
    </row>
    <row r="43" spans="1:13" ht="15.75">
      <c r="A43" s="77"/>
      <c r="B43" s="78" t="s">
        <v>10</v>
      </c>
      <c r="C43" s="78" t="s">
        <v>11</v>
      </c>
      <c r="D43" s="78" t="s">
        <v>12</v>
      </c>
      <c r="E43" s="78" t="s">
        <v>13</v>
      </c>
      <c r="F43" s="78" t="s">
        <v>14</v>
      </c>
      <c r="G43" s="78" t="s">
        <v>15</v>
      </c>
      <c r="H43" s="78" t="s">
        <v>16</v>
      </c>
      <c r="I43" s="78" t="s">
        <v>17</v>
      </c>
      <c r="J43" s="78" t="s">
        <v>18</v>
      </c>
      <c r="K43" s="78" t="s">
        <v>19</v>
      </c>
      <c r="L43" s="78" t="s">
        <v>20</v>
      </c>
      <c r="M43" s="79" t="s">
        <v>21</v>
      </c>
    </row>
    <row r="44" spans="1:13">
      <c r="A44" s="8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/>
    </row>
    <row r="45" spans="1:13" ht="15.75" hidden="1">
      <c r="A45" s="83" t="s">
        <v>29</v>
      </c>
      <c r="B45" s="87"/>
      <c r="C45" s="87"/>
      <c r="D45" s="85"/>
      <c r="E45" s="106"/>
      <c r="F45" s="106"/>
      <c r="G45" s="106"/>
      <c r="H45" s="106"/>
      <c r="I45" s="106"/>
      <c r="J45" s="106"/>
      <c r="K45" s="106"/>
      <c r="L45" s="106"/>
      <c r="M45" s="107"/>
    </row>
    <row r="46" spans="1:13" ht="15.75" hidden="1">
      <c r="A46" s="84" t="s">
        <v>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6"/>
    </row>
    <row r="47" spans="1:13" ht="15.75" hidden="1">
      <c r="A47" s="84" t="s">
        <v>7</v>
      </c>
      <c r="B47" s="85">
        <f>+B63</f>
        <v>124299</v>
      </c>
      <c r="C47" s="85">
        <v>404738</v>
      </c>
      <c r="D47" s="85">
        <v>821047</v>
      </c>
      <c r="E47" s="85">
        <v>1445511</v>
      </c>
      <c r="F47" s="85">
        <v>1861820</v>
      </c>
      <c r="G47" s="85">
        <v>2278129</v>
      </c>
      <c r="H47" s="85">
        <v>2694438</v>
      </c>
      <c r="I47" s="85">
        <v>3110747</v>
      </c>
      <c r="J47" s="85">
        <v>3527056</v>
      </c>
      <c r="K47" s="85">
        <v>4151520</v>
      </c>
      <c r="L47" s="85">
        <v>4567829</v>
      </c>
      <c r="M47" s="86">
        <v>5203864</v>
      </c>
    </row>
    <row r="48" spans="1:13" ht="15.75" hidden="1">
      <c r="A48" s="84" t="s">
        <v>8</v>
      </c>
      <c r="B48" s="85">
        <f>+B65</f>
        <v>255510</v>
      </c>
      <c r="C48" s="85">
        <f>7490684*0.08</f>
        <v>599254.72</v>
      </c>
      <c r="D48" s="85">
        <f>7490684*13%</f>
        <v>973788.92</v>
      </c>
      <c r="E48" s="85">
        <f>7490684*21%</f>
        <v>1573043.64</v>
      </c>
      <c r="F48" s="85">
        <f>7490684*27%</f>
        <v>2022484.6800000002</v>
      </c>
      <c r="G48" s="85">
        <f>7490684*51%</f>
        <v>3820248.84</v>
      </c>
      <c r="H48" s="85">
        <f>7490684*57%</f>
        <v>4269689.88</v>
      </c>
      <c r="I48" s="85">
        <f>7490684*64%</f>
        <v>4794037.76</v>
      </c>
      <c r="J48" s="85">
        <f>7490684*71%</f>
        <v>5318385.6399999997</v>
      </c>
      <c r="K48" s="85">
        <f>7490684*81%</f>
        <v>6067454.04</v>
      </c>
      <c r="L48" s="85">
        <f>7490684*93%</f>
        <v>6966336.1200000001</v>
      </c>
      <c r="M48" s="86">
        <f>M50-M47</f>
        <v>12392360</v>
      </c>
    </row>
    <row r="49" spans="1:13" hidden="1">
      <c r="A49" s="88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6"/>
    </row>
    <row r="50" spans="1:13" ht="15.75" hidden="1">
      <c r="A50" s="84" t="s">
        <v>5</v>
      </c>
      <c r="B50" s="1">
        <v>379809</v>
      </c>
      <c r="C50" s="1">
        <f t="shared" ref="C50:L50" si="8">+C48+C47</f>
        <v>1003992.72</v>
      </c>
      <c r="D50" s="1">
        <f t="shared" si="8"/>
        <v>1794835.92</v>
      </c>
      <c r="E50" s="1">
        <f t="shared" si="8"/>
        <v>3018554.6399999997</v>
      </c>
      <c r="F50" s="1">
        <f t="shared" si="8"/>
        <v>3884304.68</v>
      </c>
      <c r="G50" s="1">
        <f t="shared" si="8"/>
        <v>6098377.8399999999</v>
      </c>
      <c r="H50" s="1">
        <f t="shared" si="8"/>
        <v>6964127.8799999999</v>
      </c>
      <c r="I50" s="1">
        <f t="shared" si="8"/>
        <v>7904784.7599999998</v>
      </c>
      <c r="J50" s="1">
        <f t="shared" si="8"/>
        <v>8845441.6400000006</v>
      </c>
      <c r="K50" s="1">
        <f t="shared" si="8"/>
        <v>10218974.039999999</v>
      </c>
      <c r="L50" s="1">
        <f t="shared" si="8"/>
        <v>11534165.120000001</v>
      </c>
      <c r="M50" s="2">
        <v>17596224</v>
      </c>
    </row>
    <row r="51" spans="1:13" ht="15.75" hidden="1">
      <c r="A51" s="8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</row>
    <row r="52" spans="1:13" ht="15.75" hidden="1">
      <c r="A52" s="8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</row>
    <row r="53" spans="1:13" ht="15.75" hidden="1">
      <c r="A53" s="52" t="s">
        <v>32</v>
      </c>
      <c r="B53" s="1"/>
      <c r="C53" s="1"/>
      <c r="D53" s="1"/>
      <c r="E53" s="101"/>
      <c r="F53" s="101"/>
      <c r="G53" s="101"/>
      <c r="H53" s="1"/>
      <c r="I53" s="101"/>
      <c r="J53" s="101"/>
      <c r="K53" s="101"/>
      <c r="L53" s="1"/>
      <c r="M53" s="2"/>
    </row>
    <row r="54" spans="1:13" ht="15.75" hidden="1">
      <c r="A54" s="84" t="s">
        <v>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</row>
    <row r="55" spans="1:13" ht="15.75" hidden="1">
      <c r="A55" s="84" t="s">
        <v>7</v>
      </c>
      <c r="B55" s="85">
        <f>45643+342+78314</f>
        <v>124299</v>
      </c>
      <c r="C55" s="85">
        <v>380653</v>
      </c>
      <c r="D55" s="85">
        <f>189619+188306+C55</f>
        <v>758578</v>
      </c>
      <c r="E55" s="85">
        <f>204746+199778+200210+D55</f>
        <v>1363312</v>
      </c>
      <c r="F55" s="85">
        <f>198836+198001+E55</f>
        <v>1760149</v>
      </c>
      <c r="G55" s="85">
        <v>2158927</v>
      </c>
      <c r="H55" s="85">
        <f>191935+184266+G55</f>
        <v>2535128</v>
      </c>
      <c r="I55" s="85">
        <f>199723+202161+H55</f>
        <v>2937012</v>
      </c>
      <c r="J55" s="85">
        <f>202554+200747+I55</f>
        <v>3340313</v>
      </c>
      <c r="K55" s="85">
        <v>3939174</v>
      </c>
      <c r="L55" s="85">
        <v>4343756</v>
      </c>
      <c r="M55" s="86">
        <v>5220421</v>
      </c>
    </row>
    <row r="56" spans="1:13" ht="15.75" hidden="1">
      <c r="A56" s="84" t="s">
        <v>8</v>
      </c>
      <c r="B56" s="85">
        <f t="shared" ref="B56:K56" si="9">+B58-B55</f>
        <v>255510</v>
      </c>
      <c r="C56" s="85">
        <f t="shared" si="9"/>
        <v>561810</v>
      </c>
      <c r="D56" s="85">
        <f t="shared" si="9"/>
        <v>967956</v>
      </c>
      <c r="E56" s="85">
        <f t="shared" si="9"/>
        <v>1404329</v>
      </c>
      <c r="F56" s="85">
        <f t="shared" si="9"/>
        <v>1860523</v>
      </c>
      <c r="G56" s="85">
        <f t="shared" si="9"/>
        <v>3325386</v>
      </c>
      <c r="H56" s="85">
        <f t="shared" si="9"/>
        <v>3760458</v>
      </c>
      <c r="I56" s="85">
        <f t="shared" si="9"/>
        <v>4157079</v>
      </c>
      <c r="J56" s="85">
        <f t="shared" si="9"/>
        <v>4607138</v>
      </c>
      <c r="K56" s="85">
        <f t="shared" si="9"/>
        <v>5082459</v>
      </c>
      <c r="L56" s="85">
        <f>+K56+850000</f>
        <v>5932459</v>
      </c>
      <c r="M56" s="86">
        <f>+M58-M55</f>
        <v>11619645</v>
      </c>
    </row>
    <row r="57" spans="1:13" hidden="1">
      <c r="A57" s="88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6"/>
    </row>
    <row r="58" spans="1:13" ht="15.75" hidden="1">
      <c r="A58" s="84" t="s">
        <v>5</v>
      </c>
      <c r="B58" s="1">
        <v>379809</v>
      </c>
      <c r="C58" s="1">
        <v>942463</v>
      </c>
      <c r="D58" s="1">
        <v>1726534</v>
      </c>
      <c r="E58" s="1">
        <v>2767641</v>
      </c>
      <c r="F58" s="1">
        <v>3620672</v>
      </c>
      <c r="G58" s="1">
        <v>5484313</v>
      </c>
      <c r="H58" s="1">
        <v>6295586</v>
      </c>
      <c r="I58" s="1">
        <v>7094091</v>
      </c>
      <c r="J58" s="1">
        <v>7947451</v>
      </c>
      <c r="K58" s="1">
        <v>9021633</v>
      </c>
      <c r="L58" s="1">
        <f>SUM(L55:L57)</f>
        <v>10276215</v>
      </c>
      <c r="M58" s="2">
        <v>16840066</v>
      </c>
    </row>
    <row r="59" spans="1:13" ht="15.75" hidden="1">
      <c r="A59" s="8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</row>
    <row r="60" spans="1:13" ht="15.75" hidden="1">
      <c r="A60" s="8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</row>
    <row r="61" spans="1:13" ht="15.75">
      <c r="A61" s="52" t="s">
        <v>30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</row>
    <row r="62" spans="1:13" ht="15.75">
      <c r="A62" s="84" t="s">
        <v>6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6"/>
    </row>
    <row r="63" spans="1:13" ht="15.75">
      <c r="A63" s="84" t="s">
        <v>7</v>
      </c>
      <c r="B63" s="85">
        <f>45643+342+78314</f>
        <v>124299</v>
      </c>
      <c r="C63" s="85">
        <v>380653</v>
      </c>
      <c r="D63" s="85">
        <f>189619+188306+C63</f>
        <v>758578</v>
      </c>
      <c r="E63" s="85">
        <f>204746+199778+200210+D63</f>
        <v>1363312</v>
      </c>
      <c r="F63" s="85">
        <f>198836+198001+E63</f>
        <v>1760149</v>
      </c>
      <c r="G63" s="85">
        <v>2158927</v>
      </c>
      <c r="H63" s="85">
        <f>191935+184266+G63</f>
        <v>2535128</v>
      </c>
      <c r="I63" s="85">
        <f>199723+202161+H63</f>
        <v>2937012</v>
      </c>
      <c r="J63" s="85">
        <f>202554+200747+I63</f>
        <v>3340313</v>
      </c>
      <c r="K63" s="85">
        <v>3939174</v>
      </c>
      <c r="L63" s="85">
        <v>4336162</v>
      </c>
      <c r="M63" s="86">
        <f>151951+25093+346099+L63</f>
        <v>4859305</v>
      </c>
    </row>
    <row r="64" spans="1:13" ht="15.75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6"/>
    </row>
    <row r="65" spans="1:13" ht="15.75">
      <c r="A65" s="84" t="s">
        <v>8</v>
      </c>
      <c r="B65" s="85">
        <f t="shared" ref="B65:M65" si="10">+B68-B63</f>
        <v>255510</v>
      </c>
      <c r="C65" s="85">
        <f t="shared" si="10"/>
        <v>561810</v>
      </c>
      <c r="D65" s="85">
        <f t="shared" si="10"/>
        <v>967956</v>
      </c>
      <c r="E65" s="85">
        <f t="shared" si="10"/>
        <v>1404329</v>
      </c>
      <c r="F65" s="85">
        <f t="shared" si="10"/>
        <v>1860523</v>
      </c>
      <c r="G65" s="85">
        <f t="shared" si="10"/>
        <v>3325386</v>
      </c>
      <c r="H65" s="85">
        <f t="shared" si="10"/>
        <v>3760458</v>
      </c>
      <c r="I65" s="85">
        <f t="shared" si="10"/>
        <v>4157079</v>
      </c>
      <c r="J65" s="85">
        <f t="shared" si="10"/>
        <v>4607138</v>
      </c>
      <c r="K65" s="85">
        <f t="shared" si="10"/>
        <v>5082459</v>
      </c>
      <c r="L65" s="85">
        <f t="shared" si="10"/>
        <v>5791556</v>
      </c>
      <c r="M65" s="86">
        <f t="shared" si="10"/>
        <v>6767511</v>
      </c>
    </row>
    <row r="66" spans="1:13" ht="15.75">
      <c r="A66" s="84"/>
      <c r="B66" s="108">
        <f>+B65/$M$65</f>
        <v>3.7755387468154836E-2</v>
      </c>
      <c r="C66" s="108">
        <f t="shared" ref="C66:M66" si="11">+C65/$M$65</f>
        <v>8.3015749808164327E-2</v>
      </c>
      <c r="D66" s="108">
        <f t="shared" si="11"/>
        <v>0.14302983770547251</v>
      </c>
      <c r="E66" s="108">
        <f t="shared" si="11"/>
        <v>0.20751041261698724</v>
      </c>
      <c r="F66" s="108">
        <f t="shared" si="11"/>
        <v>0.27491983389461799</v>
      </c>
      <c r="G66" s="108">
        <f t="shared" si="11"/>
        <v>0.49137504172508917</v>
      </c>
      <c r="H66" s="108">
        <f t="shared" si="11"/>
        <v>0.55566337461438919</v>
      </c>
      <c r="I66" s="108">
        <f t="shared" si="11"/>
        <v>0.61427000266419962</v>
      </c>
      <c r="J66" s="108">
        <f t="shared" si="11"/>
        <v>0.68077288681170967</v>
      </c>
      <c r="K66" s="108">
        <f t="shared" si="11"/>
        <v>0.75100860567496674</v>
      </c>
      <c r="L66" s="108">
        <f t="shared" si="11"/>
        <v>0.85578819155225605</v>
      </c>
      <c r="M66" s="108">
        <f t="shared" si="11"/>
        <v>1</v>
      </c>
    </row>
    <row r="67" spans="1:13">
      <c r="A67" s="88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6"/>
    </row>
    <row r="68" spans="1:13" ht="16.5" thickBot="1">
      <c r="A68" s="92" t="s">
        <v>5</v>
      </c>
      <c r="B68" s="3">
        <v>379809</v>
      </c>
      <c r="C68" s="3">
        <v>942463</v>
      </c>
      <c r="D68" s="3">
        <v>1726534</v>
      </c>
      <c r="E68" s="3">
        <v>2767641</v>
      </c>
      <c r="F68" s="3">
        <v>3620672</v>
      </c>
      <c r="G68" s="3">
        <v>5484313</v>
      </c>
      <c r="H68" s="3">
        <v>6295586</v>
      </c>
      <c r="I68" s="3">
        <v>7094091</v>
      </c>
      <c r="J68" s="3">
        <v>7947451</v>
      </c>
      <c r="K68" s="3">
        <v>9021633</v>
      </c>
      <c r="L68" s="3">
        <v>10127718</v>
      </c>
      <c r="M68" s="4">
        <v>11626816</v>
      </c>
    </row>
    <row r="72" spans="1:13" ht="15.7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3" spans="1:13" ht="15.7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13" ht="15.7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1:13" ht="15.75">
      <c r="A75" s="76"/>
      <c r="B75" s="76"/>
      <c r="C75" s="75"/>
      <c r="D75" s="75"/>
      <c r="E75" s="76"/>
      <c r="F75" s="76"/>
      <c r="G75" s="76"/>
      <c r="H75" s="76"/>
      <c r="I75" s="76"/>
      <c r="J75" s="76"/>
      <c r="K75" s="76"/>
      <c r="L75" s="76"/>
      <c r="M75" s="76"/>
    </row>
    <row r="76" spans="1:13" ht="15.75">
      <c r="A76" s="76"/>
      <c r="B76" s="76"/>
      <c r="C76" s="75"/>
      <c r="D76" s="75"/>
      <c r="E76" s="76"/>
      <c r="F76" s="76"/>
      <c r="G76" s="76"/>
      <c r="H76" s="76"/>
      <c r="I76" s="76"/>
      <c r="J76" s="76"/>
      <c r="K76" s="76"/>
      <c r="L76" s="76"/>
      <c r="M76" s="76"/>
    </row>
    <row r="77" spans="1:13" ht="15.7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  <row r="78" spans="1:13" ht="15.7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85" spans="1:9">
      <c r="I85" s="69" t="s">
        <v>24</v>
      </c>
    </row>
    <row r="86" spans="1:9" ht="15.75">
      <c r="A86" s="75"/>
      <c r="B86" s="97"/>
      <c r="C86" s="97"/>
      <c r="D86" s="97"/>
      <c r="E86" s="97"/>
      <c r="F86" s="97"/>
      <c r="G86" s="97"/>
      <c r="H86" s="97"/>
    </row>
    <row r="87" spans="1:9" ht="15.75">
      <c r="A87" s="75"/>
      <c r="B87" s="97"/>
      <c r="C87" s="97"/>
      <c r="D87" s="97"/>
      <c r="E87" s="97"/>
      <c r="F87" s="97"/>
      <c r="G87" s="97"/>
      <c r="H87" s="97"/>
    </row>
    <row r="88" spans="1:9" ht="15.75">
      <c r="A88" s="75"/>
      <c r="B88" s="97"/>
      <c r="C88" s="97"/>
      <c r="D88" s="97"/>
      <c r="E88" s="97"/>
      <c r="F88" s="97"/>
      <c r="G88" s="97"/>
      <c r="H88" s="97"/>
    </row>
    <row r="89" spans="1:9" ht="15.75">
      <c r="A89" s="75"/>
      <c r="B89" s="97"/>
      <c r="C89" s="97"/>
      <c r="D89" s="97"/>
      <c r="E89" s="97"/>
      <c r="F89" s="97"/>
      <c r="G89" s="97"/>
      <c r="H89" s="97"/>
    </row>
    <row r="90" spans="1:9" ht="15.75">
      <c r="A90" s="75"/>
      <c r="B90" s="97"/>
      <c r="C90" s="97"/>
      <c r="D90" s="97"/>
      <c r="E90" s="97"/>
      <c r="F90" s="97"/>
      <c r="G90" s="97"/>
      <c r="H90" s="97"/>
    </row>
    <row r="91" spans="1:9" ht="15.75">
      <c r="A91" s="75"/>
      <c r="B91" s="97"/>
      <c r="C91" s="97"/>
      <c r="D91" s="97"/>
      <c r="E91" s="97"/>
      <c r="F91" s="97"/>
      <c r="G91" s="97"/>
      <c r="H91" s="97"/>
    </row>
    <row r="92" spans="1:9" ht="15.75">
      <c r="A92" s="75"/>
      <c r="B92" s="97"/>
      <c r="C92" s="97"/>
      <c r="D92" s="97"/>
      <c r="E92" s="97"/>
      <c r="F92" s="97"/>
      <c r="G92" s="97"/>
      <c r="H92" s="97"/>
    </row>
    <row r="93" spans="1:9" ht="15.75">
      <c r="A93" s="75"/>
      <c r="B93" s="97"/>
      <c r="C93" s="97"/>
      <c r="D93" s="97"/>
      <c r="E93" s="97"/>
      <c r="F93" s="97"/>
      <c r="G93" s="97"/>
      <c r="H93" s="97"/>
    </row>
    <row r="94" spans="1:9" ht="15.75">
      <c r="A94" s="75"/>
      <c r="B94" s="97"/>
      <c r="C94" s="97"/>
      <c r="D94" s="97"/>
      <c r="E94" s="97"/>
      <c r="F94" s="97"/>
      <c r="G94" s="97"/>
      <c r="H94" s="97"/>
    </row>
    <row r="95" spans="1:9" ht="15.75">
      <c r="A95" s="75"/>
      <c r="B95" s="97"/>
      <c r="C95" s="97"/>
      <c r="D95" s="97"/>
      <c r="E95" s="97"/>
      <c r="F95" s="97"/>
      <c r="G95" s="97"/>
      <c r="H95" s="97"/>
    </row>
    <row r="96" spans="1:9" ht="15.75">
      <c r="A96" s="75"/>
      <c r="B96" s="97"/>
      <c r="C96" s="97"/>
      <c r="D96" s="97"/>
      <c r="E96" s="97"/>
      <c r="F96" s="97"/>
      <c r="G96" s="97"/>
      <c r="H96" s="97"/>
    </row>
    <row r="97" spans="1:8" ht="15.75">
      <c r="A97" s="75"/>
      <c r="B97" s="97"/>
      <c r="C97" s="97"/>
      <c r="D97" s="97"/>
      <c r="E97" s="97"/>
      <c r="F97" s="97"/>
      <c r="G97" s="97"/>
      <c r="H97" s="97"/>
    </row>
    <row r="98" spans="1:8" ht="15.75">
      <c r="A98" s="75"/>
      <c r="B98" s="97"/>
      <c r="C98" s="97"/>
      <c r="D98" s="97"/>
      <c r="E98" s="97"/>
      <c r="F98" s="97"/>
      <c r="G98" s="97"/>
      <c r="H98" s="97"/>
    </row>
    <row r="120" spans="1:8" ht="15.75">
      <c r="A120" s="75"/>
      <c r="B120" s="75"/>
      <c r="C120" s="76"/>
      <c r="D120" s="76"/>
      <c r="E120" s="76"/>
    </row>
    <row r="122" spans="1:8" ht="15.75">
      <c r="A122" s="75"/>
      <c r="B122" s="75"/>
      <c r="C122" s="75"/>
      <c r="D122" s="75"/>
      <c r="E122" s="75"/>
      <c r="F122" s="75"/>
      <c r="G122" s="76"/>
      <c r="H122" s="76"/>
    </row>
    <row r="125" spans="1:8" ht="15.75">
      <c r="A125" s="75"/>
      <c r="B125" s="75"/>
      <c r="C125" s="75"/>
      <c r="D125" s="76"/>
    </row>
    <row r="127" spans="1:8" ht="15.75">
      <c r="A127" s="75"/>
      <c r="C127" s="76" t="s">
        <v>9</v>
      </c>
      <c r="D127" s="76"/>
      <c r="E127" s="76"/>
      <c r="F127" s="98">
        <v>7258638</v>
      </c>
    </row>
  </sheetData>
  <phoneticPr fontId="13" type="noConversion"/>
  <printOptions horizontalCentered="1" verticalCentered="1"/>
  <pageMargins left="0.5" right="0.5" top="0.5" bottom="0.5" header="0.5" footer="0.5"/>
  <pageSetup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03"/>
  <sheetViews>
    <sheetView defaultGridColor="0" topLeftCell="E97" colorId="22" zoomScale="87" workbookViewId="0">
      <selection activeCell="M44" sqref="A1:M44"/>
    </sheetView>
  </sheetViews>
  <sheetFormatPr defaultColWidth="12.5703125" defaultRowHeight="15"/>
  <cols>
    <col min="1" max="1" width="22.85546875" style="69" customWidth="1"/>
    <col min="2" max="2" width="12.5703125" style="69"/>
    <col min="3" max="4" width="14.5703125" style="69" bestFit="1" customWidth="1"/>
    <col min="5" max="5" width="14.5703125" style="69" customWidth="1"/>
    <col min="6" max="6" width="16.42578125" style="69" customWidth="1"/>
    <col min="7" max="7" width="16.140625" style="69" customWidth="1"/>
    <col min="8" max="9" width="16" style="69" customWidth="1"/>
    <col min="10" max="10" width="15.5703125" style="69" customWidth="1"/>
    <col min="11" max="11" width="16" style="69" customWidth="1"/>
    <col min="12" max="12" width="16.140625" style="69" customWidth="1"/>
    <col min="13" max="13" width="15.85546875" style="69" customWidth="1"/>
    <col min="14" max="16384" width="12.5703125" style="69"/>
  </cols>
  <sheetData>
    <row r="1" spans="1:36" ht="20.25">
      <c r="A1" s="37" t="s">
        <v>34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</row>
    <row r="2" spans="1:36" ht="18.75">
      <c r="A2" s="70" t="s">
        <v>0</v>
      </c>
      <c r="B2" s="71"/>
      <c r="C2" s="72"/>
      <c r="D2" s="67"/>
      <c r="E2" s="68"/>
      <c r="F2" s="68"/>
      <c r="G2" s="68"/>
      <c r="H2" s="68"/>
      <c r="I2" s="68"/>
      <c r="J2" s="68"/>
      <c r="K2" s="68"/>
      <c r="L2" s="68"/>
      <c r="M2" s="68"/>
    </row>
    <row r="5" spans="1:36" ht="18.75" thickBot="1">
      <c r="A5" s="73" t="s">
        <v>22</v>
      </c>
      <c r="B5" s="74"/>
      <c r="C5" s="74"/>
      <c r="D5" s="75"/>
      <c r="E5" s="75"/>
      <c r="F5" s="75"/>
      <c r="G5" s="75"/>
      <c r="H5" s="75"/>
      <c r="I5" s="76"/>
      <c r="J5" s="76"/>
      <c r="K5" s="76"/>
      <c r="L5" s="76"/>
      <c r="M5" s="76"/>
    </row>
    <row r="6" spans="1:36" ht="15.75">
      <c r="A6" s="77"/>
      <c r="B6" s="78" t="s">
        <v>10</v>
      </c>
      <c r="C6" s="78" t="s">
        <v>11</v>
      </c>
      <c r="D6" s="78" t="s">
        <v>12</v>
      </c>
      <c r="E6" s="78" t="s">
        <v>13</v>
      </c>
      <c r="F6" s="78" t="s">
        <v>14</v>
      </c>
      <c r="G6" s="78" t="s">
        <v>15</v>
      </c>
      <c r="H6" s="78" t="s">
        <v>16</v>
      </c>
      <c r="I6" s="78" t="s">
        <v>17</v>
      </c>
      <c r="J6" s="78" t="s">
        <v>18</v>
      </c>
      <c r="K6" s="78" t="s">
        <v>19</v>
      </c>
      <c r="L6" s="78" t="s">
        <v>20</v>
      </c>
      <c r="M6" s="79" t="s">
        <v>21</v>
      </c>
    </row>
    <row r="7" spans="1:36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36" ht="15.75">
      <c r="A8" s="83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36" ht="15.75">
      <c r="A9" s="84" t="s">
        <v>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36" ht="15.75">
      <c r="A10" s="84" t="s">
        <v>2</v>
      </c>
      <c r="B10" s="87">
        <f>+B20</f>
        <v>15688</v>
      </c>
      <c r="C10" s="87">
        <f>+'Vocational 04-05 (template)'!C31*'Vocational 05-06 (Original)'!$M$10</f>
        <v>2207054.889233652</v>
      </c>
      <c r="D10" s="87">
        <f>+'Vocational 04-05 (template)'!D31*'Vocational 05-06 (Original)'!$M$10</f>
        <v>8449302.6635450032</v>
      </c>
      <c r="E10" s="87">
        <f>+'Vocational 04-05 (template)'!E31*'Vocational 05-06 (Original)'!$M$10</f>
        <v>8949631.6004957557</v>
      </c>
      <c r="F10" s="87">
        <f>+'Vocational 04-05 (template)'!F31*'Vocational 05-06 (Original)'!$M$10</f>
        <v>9411165.7799259722</v>
      </c>
      <c r="G10" s="87">
        <f>+'Vocational 04-05 (template)'!G31*'Vocational 05-06 (Original)'!$M$10</f>
        <v>9769184.9731847364</v>
      </c>
      <c r="H10" s="87">
        <f>+'Vocational 04-05 (template)'!H31*'Vocational 05-06 (Original)'!$M$10</f>
        <v>10175953.828390002</v>
      </c>
      <c r="I10" s="87">
        <f>+'Vocational 04-05 (template)'!I31*'Vocational 05-06 (Original)'!$M$10</f>
        <v>10492472.34570834</v>
      </c>
      <c r="J10" s="87">
        <f>+'Vocational 04-05 (template)'!J31*'Vocational 05-06 (Original)'!$M$10</f>
        <v>10715652.594707644</v>
      </c>
      <c r="K10" s="87">
        <f>+'Vocational 04-05 (template)'!K31*'Vocational 05-06 (Original)'!$M$10</f>
        <v>11550802.73740091</v>
      </c>
      <c r="L10" s="87">
        <f>+'Vocational 04-05 (template)'!L31*'Vocational 05-06 (Original)'!$M$10</f>
        <v>11748733.224689296</v>
      </c>
      <c r="M10" s="86">
        <v>12021650</v>
      </c>
    </row>
    <row r="11" spans="1:36" ht="15.75">
      <c r="A11" s="84" t="s">
        <v>3</v>
      </c>
      <c r="B11" s="85">
        <f>+B21</f>
        <v>0</v>
      </c>
      <c r="C11" s="85">
        <f>+'Vocational 04-05 (template)'!C33*'Vocational 05-06 (Original)'!$M$11</f>
        <v>100.75666831890209</v>
      </c>
      <c r="D11" s="85">
        <f>+'Vocational 04-05 (template)'!D33*'Vocational 05-06 (Original)'!$M$11</f>
        <v>154.64976997784973</v>
      </c>
      <c r="E11" s="85">
        <f>+'Vocational 04-05 (template)'!E33*'Vocational 05-06 (Original)'!$M$11</f>
        <v>64512.38586409331</v>
      </c>
      <c r="F11" s="85">
        <f>+'Vocational 04-05 (template)'!F33*'Vocational 05-06 (Original)'!$M$11</f>
        <v>128572.53830991805</v>
      </c>
      <c r="G11" s="85">
        <f>+'Vocational 04-05 (template)'!G33*'Vocational 05-06 (Original)'!$M$11</f>
        <v>192713.53040823125</v>
      </c>
      <c r="H11" s="85">
        <f>+'Vocational 04-05 (template)'!H33*'Vocational 05-06 (Original)'!$M$11</f>
        <v>256952.93599653029</v>
      </c>
      <c r="I11" s="85">
        <f>+'Vocational 04-05 (template)'!I33*'Vocational 05-06 (Original)'!$M$11</f>
        <v>321813.28384307382</v>
      </c>
      <c r="J11" s="85">
        <f>+'Vocational 04-05 (template)'!J33*'Vocational 05-06 (Original)'!$M$11</f>
        <v>387548.80879699194</v>
      </c>
      <c r="K11" s="85">
        <f>+'Vocational 04-05 (template)'!K33*'Vocational 05-06 (Original)'!$M$11</f>
        <v>451987.38454359578</v>
      </c>
      <c r="L11" s="85">
        <f>+'Vocational 04-05 (template)'!L33*'Vocational 05-06 (Original)'!$M$11</f>
        <v>516122.51869607647</v>
      </c>
      <c r="M11" s="86">
        <v>605093</v>
      </c>
    </row>
    <row r="12" spans="1:36" ht="15.75">
      <c r="A12" s="84" t="s">
        <v>4</v>
      </c>
      <c r="B12" s="85">
        <f>+'Vocational 04-05 (template)'!B35*'Vocational 05-06 (Original)'!$M$12</f>
        <v>0</v>
      </c>
      <c r="C12" s="85">
        <f>+'Vocational 04-05 (template)'!C35*'Vocational 05-06 (Original)'!$M$12</f>
        <v>0</v>
      </c>
      <c r="D12" s="85">
        <f>+'Vocational 04-05 (template)'!D35*'Vocational 05-06 (Original)'!$M$12</f>
        <v>1234.3949306325799</v>
      </c>
      <c r="E12" s="85">
        <f>+'Vocational 04-05 (template)'!E35*'Vocational 05-06 (Original)'!$M$12</f>
        <v>6737.3551671000232</v>
      </c>
      <c r="F12" s="85">
        <f>+'Vocational 04-05 (template)'!F35*'Vocational 05-06 (Original)'!$M$12</f>
        <v>114128.56264432606</v>
      </c>
      <c r="G12" s="85">
        <f>+'Vocational 04-05 (template)'!G35*'Vocational 05-06 (Original)'!$M$12</f>
        <v>122152.12969343783</v>
      </c>
      <c r="H12" s="85">
        <f>+'Vocational 04-05 (template)'!H35*'Vocational 05-06 (Original)'!$M$12</f>
        <v>216397.95234967361</v>
      </c>
      <c r="I12" s="85">
        <f>+'Vocational 04-05 (template)'!I35*'Vocational 05-06 (Original)'!$M$12</f>
        <v>222130.05866001782</v>
      </c>
      <c r="J12" s="85">
        <f>+'Vocational 04-05 (template)'!J35*'Vocational 05-06 (Original)'!$M$12</f>
        <v>289746.57425859594</v>
      </c>
      <c r="K12" s="85">
        <f>+'Vocational 04-05 (template)'!K35*'Vocational 05-06 (Original)'!$M$12</f>
        <v>353111.79686846555</v>
      </c>
      <c r="L12" s="85">
        <f>+'Vocational 04-05 (template)'!L35*'Vocational 05-06 (Original)'!$M$12</f>
        <v>357123.5803930214</v>
      </c>
      <c r="M12" s="86">
        <v>506627</v>
      </c>
    </row>
    <row r="13" spans="1:36" ht="15.75">
      <c r="A13" s="84" t="s">
        <v>25</v>
      </c>
      <c r="B13" s="85">
        <f>+'Vocational 04-05 (template)'!B37*'Vocational 05-06 (Original)'!$M$13</f>
        <v>0</v>
      </c>
      <c r="C13" s="85">
        <f>+'Vocational 04-05 (template)'!C37*'Vocational 05-06 (Original)'!$M$13</f>
        <v>0</v>
      </c>
      <c r="D13" s="85">
        <f>+'Vocational 04-05 (template)'!D37*'Vocational 05-06 (Original)'!$M$13</f>
        <v>0</v>
      </c>
      <c r="E13" s="85">
        <f>+'Vocational 04-05 (template)'!E37*'Vocational 05-06 (Original)'!$M$13</f>
        <v>0</v>
      </c>
      <c r="F13" s="85">
        <f>+'Vocational 04-05 (template)'!F37*'Vocational 05-06 (Original)'!$M$13</f>
        <v>0</v>
      </c>
      <c r="G13" s="85">
        <f>+'Vocational 04-05 (template)'!G37*'Vocational 05-06 (Original)'!$M$13</f>
        <v>0</v>
      </c>
      <c r="H13" s="85">
        <f>+'Vocational 04-05 (template)'!H37*'Vocational 05-06 (Original)'!$M$13</f>
        <v>0</v>
      </c>
      <c r="I13" s="85">
        <f>+'Vocational 04-05 (template)'!I37*'Vocational 05-06 (Original)'!$M$13</f>
        <v>0</v>
      </c>
      <c r="J13" s="85">
        <f>+'Vocational 04-05 (template)'!J37*'Vocational 05-06 (Original)'!$M$13</f>
        <v>0</v>
      </c>
      <c r="K13" s="85">
        <f>+'Vocational 04-05 (template)'!K37*'Vocational 05-06 (Original)'!$M$13</f>
        <v>0</v>
      </c>
      <c r="L13" s="85">
        <f>+'Vocational 04-05 (template)'!L37*'Vocational 05-06 (Original)'!$M$13</f>
        <v>0</v>
      </c>
      <c r="M13" s="86">
        <v>0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>
      <c r="A14" s="8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36" ht="15.75">
      <c r="A15" s="84" t="s">
        <v>5</v>
      </c>
      <c r="B15" s="1">
        <f t="shared" ref="B15:M15" si="0">SUM(B10:B14)</f>
        <v>15688</v>
      </c>
      <c r="C15" s="1">
        <f t="shared" si="0"/>
        <v>2207155.645901971</v>
      </c>
      <c r="D15" s="1">
        <f t="shared" si="0"/>
        <v>8450691.7082456145</v>
      </c>
      <c r="E15" s="1">
        <f t="shared" si="0"/>
        <v>9020881.3415269498</v>
      </c>
      <c r="F15" s="1">
        <f t="shared" si="0"/>
        <v>9653866.8808802161</v>
      </c>
      <c r="G15" s="1">
        <f t="shared" si="0"/>
        <v>10084050.633286405</v>
      </c>
      <c r="H15" s="1">
        <f t="shared" si="0"/>
        <v>10649304.716736207</v>
      </c>
      <c r="I15" s="1">
        <f t="shared" si="0"/>
        <v>11036415.688211432</v>
      </c>
      <c r="J15" s="1">
        <f t="shared" si="0"/>
        <v>11392947.977763232</v>
      </c>
      <c r="K15" s="1">
        <f t="shared" si="0"/>
        <v>12355901.918812972</v>
      </c>
      <c r="L15" s="1">
        <f t="shared" si="0"/>
        <v>12621979.323778395</v>
      </c>
      <c r="M15" s="2">
        <f t="shared" si="0"/>
        <v>13133370</v>
      </c>
    </row>
    <row r="16" spans="1:36" ht="15.75">
      <c r="A16" s="8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8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35</v>
      </c>
      <c r="B18" s="87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</row>
    <row r="19" spans="1:16" ht="15.75">
      <c r="A19" s="84" t="s">
        <v>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1:16" ht="15.75">
      <c r="A20" s="84" t="s">
        <v>2</v>
      </c>
      <c r="B20" s="87">
        <v>15688</v>
      </c>
      <c r="C20" s="87">
        <v>2786806</v>
      </c>
      <c r="D20" s="87">
        <v>9081058</v>
      </c>
      <c r="E20" s="89">
        <v>9811028</v>
      </c>
      <c r="F20" s="87">
        <v>10007499</v>
      </c>
      <c r="G20" s="87"/>
      <c r="H20" s="87"/>
      <c r="I20" s="89"/>
      <c r="J20" s="89"/>
      <c r="K20" s="89"/>
      <c r="L20" s="89"/>
      <c r="M20" s="90"/>
      <c r="N20" s="76"/>
      <c r="O20" s="76"/>
      <c r="P20" s="76"/>
    </row>
    <row r="21" spans="1:16" ht="15.75">
      <c r="A21" s="84" t="s">
        <v>3</v>
      </c>
      <c r="B21" s="85">
        <v>0</v>
      </c>
      <c r="C21" s="85">
        <v>0</v>
      </c>
      <c r="D21" s="85">
        <v>0</v>
      </c>
      <c r="E21" s="91">
        <v>75668</v>
      </c>
      <c r="F21" s="85">
        <v>132463</v>
      </c>
      <c r="G21" s="85"/>
      <c r="H21" s="85"/>
      <c r="I21" s="91"/>
      <c r="J21" s="91"/>
      <c r="K21" s="91"/>
      <c r="L21" s="91"/>
      <c r="M21" s="86"/>
    </row>
    <row r="22" spans="1:16" ht="15.75">
      <c r="A22" s="84" t="s">
        <v>4</v>
      </c>
      <c r="B22" s="85">
        <v>0</v>
      </c>
      <c r="C22" s="85">
        <v>938</v>
      </c>
      <c r="D22" s="85">
        <v>14797</v>
      </c>
      <c r="E22" s="91">
        <v>21863</v>
      </c>
      <c r="F22" s="85">
        <v>120825</v>
      </c>
      <c r="G22" s="85"/>
      <c r="H22" s="85"/>
      <c r="I22" s="91"/>
      <c r="J22" s="91"/>
      <c r="K22" s="91"/>
      <c r="L22" s="91"/>
      <c r="M22" s="86"/>
    </row>
    <row r="23" spans="1:16" ht="15.75">
      <c r="A23" s="84" t="s">
        <v>25</v>
      </c>
      <c r="B23" s="85">
        <v>0</v>
      </c>
      <c r="C23" s="91">
        <v>0</v>
      </c>
      <c r="D23" s="91">
        <v>0</v>
      </c>
      <c r="E23" s="91">
        <v>1511</v>
      </c>
      <c r="F23" s="85">
        <v>1511</v>
      </c>
      <c r="G23" s="85"/>
      <c r="H23" s="85"/>
      <c r="I23" s="91"/>
      <c r="J23" s="91"/>
      <c r="K23" s="91"/>
      <c r="L23" s="91"/>
      <c r="M23" s="86"/>
    </row>
    <row r="24" spans="1:16">
      <c r="A24" s="8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6" ht="16.5" thickBot="1">
      <c r="A25" s="92" t="s">
        <v>5</v>
      </c>
      <c r="B25" s="3">
        <f t="shared" ref="B25:L25" si="1">SUM(B20:B24)</f>
        <v>15688</v>
      </c>
      <c r="C25" s="3">
        <f t="shared" si="1"/>
        <v>2787744</v>
      </c>
      <c r="D25" s="3">
        <f t="shared" si="1"/>
        <v>9095855</v>
      </c>
      <c r="E25" s="3">
        <f t="shared" si="1"/>
        <v>9910070</v>
      </c>
      <c r="F25" s="3">
        <f t="shared" si="1"/>
        <v>10262298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4">
        <f>+M20+M21+M22+M23</f>
        <v>0</v>
      </c>
    </row>
    <row r="26" spans="1:16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6">
      <c r="A27" s="94"/>
      <c r="B27" s="95"/>
      <c r="C27" s="95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6" ht="18.75" thickBot="1">
      <c r="A28" s="96" t="s">
        <v>23</v>
      </c>
      <c r="B28" s="94"/>
      <c r="C28" s="94"/>
      <c r="D28" s="94"/>
      <c r="E28" s="94"/>
      <c r="F28" s="94"/>
      <c r="G28" s="94"/>
      <c r="H28" s="94"/>
      <c r="I28" s="94"/>
      <c r="J28" s="95"/>
      <c r="K28" s="93"/>
      <c r="L28" s="93"/>
      <c r="M28" s="93"/>
    </row>
    <row r="29" spans="1:16" ht="15.75">
      <c r="A29" s="77"/>
      <c r="B29" s="78" t="s">
        <v>10</v>
      </c>
      <c r="C29" s="78" t="s">
        <v>11</v>
      </c>
      <c r="D29" s="78" t="s">
        <v>12</v>
      </c>
      <c r="E29" s="78" t="s">
        <v>13</v>
      </c>
      <c r="F29" s="78" t="s">
        <v>14</v>
      </c>
      <c r="G29" s="78" t="s">
        <v>15</v>
      </c>
      <c r="H29" s="78" t="s">
        <v>16</v>
      </c>
      <c r="I29" s="78" t="s">
        <v>17</v>
      </c>
      <c r="J29" s="78" t="s">
        <v>18</v>
      </c>
      <c r="K29" s="78" t="s">
        <v>19</v>
      </c>
      <c r="L29" s="78" t="s">
        <v>20</v>
      </c>
      <c r="M29" s="79" t="s">
        <v>21</v>
      </c>
    </row>
    <row r="30" spans="1:16">
      <c r="A30" s="88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6" ht="15.75">
      <c r="A31" s="83" t="s">
        <v>33</v>
      </c>
      <c r="B31" s="87"/>
      <c r="C31" s="87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6" ht="15.75">
      <c r="A32" s="84" t="s">
        <v>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ht="15.75">
      <c r="A33" s="84" t="s">
        <v>7</v>
      </c>
      <c r="B33" s="85">
        <v>117455</v>
      </c>
      <c r="C33" s="85">
        <v>331054</v>
      </c>
      <c r="D33" s="85">
        <v>971851</v>
      </c>
      <c r="E33" s="85">
        <v>1399049</v>
      </c>
      <c r="F33" s="85">
        <v>1826247</v>
      </c>
      <c r="G33" s="85">
        <v>2253445</v>
      </c>
      <c r="H33" s="85">
        <v>2627243</v>
      </c>
      <c r="I33" s="85">
        <v>3054441</v>
      </c>
      <c r="J33" s="85">
        <v>3695238</v>
      </c>
      <c r="K33" s="85">
        <v>4069036</v>
      </c>
      <c r="L33" s="85">
        <v>4496234</v>
      </c>
      <c r="M33" s="86">
        <v>5339974</v>
      </c>
    </row>
    <row r="34" spans="1:13" ht="15.75">
      <c r="A34" s="84" t="s">
        <v>8</v>
      </c>
      <c r="B34" s="85">
        <f>+B42</f>
        <v>149678</v>
      </c>
      <c r="C34" s="85">
        <f>+'Vocational 04-05 (template)'!C66*'Vocational 05-06 (Original)'!$M$34</f>
        <v>613111.5749719505</v>
      </c>
      <c r="D34" s="85">
        <f>+'Vocational 04-05 (template)'!D66*'Vocational 05-06 (Original)'!$M$34</f>
        <v>1056344.7209262017</v>
      </c>
      <c r="E34" s="85">
        <f>+'Vocational 04-05 (template)'!E66*'Vocational 05-06 (Original)'!$M$34</f>
        <v>1532565.03972657</v>
      </c>
      <c r="F34" s="85">
        <f>+'Vocational 04-05 (template)'!F66*'Vocational 05-06 (Original)'!$M$34</f>
        <v>2030416.3094311927</v>
      </c>
      <c r="G34" s="85">
        <f>+'Vocational 04-05 (template)'!G66*'Vocational 05-06 (Original)'!$M$34</f>
        <v>3629043.0000350201</v>
      </c>
      <c r="H34" s="85">
        <f>+'Vocational 04-05 (template)'!H66*'Vocational 05-06 (Original)'!$M$34</f>
        <v>4103843.5182639523</v>
      </c>
      <c r="I34" s="85">
        <f>+'Vocational 04-05 (template)'!I66*'Vocational 05-06 (Original)'!$M$34</f>
        <v>4536681.8906264063</v>
      </c>
      <c r="J34" s="85">
        <f>+'Vocational 04-05 (template)'!J66*'Vocational 05-06 (Original)'!$M$34</f>
        <v>5027837.9439545795</v>
      </c>
      <c r="K34" s="85">
        <f>+'Vocational 04-05 (template)'!K66*'Vocational 05-06 (Original)'!$M$34</f>
        <v>5546562.7920833817</v>
      </c>
      <c r="L34" s="85">
        <f>+'Vocational 04-05 (template)'!L66*'Vocational 05-06 (Original)'!$M$34</f>
        <v>6320410.8518863134</v>
      </c>
      <c r="M34" s="86">
        <f>M36-M33</f>
        <v>7385485</v>
      </c>
    </row>
    <row r="35" spans="1:13">
      <c r="A35" s="8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</row>
    <row r="36" spans="1:13" ht="15.75">
      <c r="A36" s="84" t="s">
        <v>5</v>
      </c>
      <c r="B36" s="1">
        <f>+B33+B34</f>
        <v>267133</v>
      </c>
      <c r="C36" s="1">
        <f t="shared" ref="C36:L36" si="2">+C34+C33</f>
        <v>944165.5749719505</v>
      </c>
      <c r="D36" s="1">
        <f t="shared" si="2"/>
        <v>2028195.7209262017</v>
      </c>
      <c r="E36" s="1">
        <f t="shared" si="2"/>
        <v>2931614.0397265702</v>
      </c>
      <c r="F36" s="1">
        <f t="shared" si="2"/>
        <v>3856663.3094311925</v>
      </c>
      <c r="G36" s="1">
        <f t="shared" si="2"/>
        <v>5882488.0000350196</v>
      </c>
      <c r="H36" s="1">
        <f t="shared" si="2"/>
        <v>6731086.5182639528</v>
      </c>
      <c r="I36" s="1">
        <f t="shared" si="2"/>
        <v>7591122.8906264063</v>
      </c>
      <c r="J36" s="1">
        <f t="shared" si="2"/>
        <v>8723075.9439545795</v>
      </c>
      <c r="K36" s="1">
        <f t="shared" si="2"/>
        <v>9615598.7920833826</v>
      </c>
      <c r="L36" s="1">
        <f t="shared" si="2"/>
        <v>10816644.851886313</v>
      </c>
      <c r="M36" s="2">
        <v>12725459</v>
      </c>
    </row>
    <row r="37" spans="1:13" ht="15.75">
      <c r="A37" s="8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</row>
    <row r="38" spans="1:13" ht="15.75">
      <c r="A38" s="8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</row>
    <row r="39" spans="1:13" ht="15.75">
      <c r="A39" s="52" t="s">
        <v>35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</row>
    <row r="40" spans="1:13" ht="15.75">
      <c r="A40" s="84" t="s">
        <v>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</row>
    <row r="41" spans="1:13" ht="15.75">
      <c r="A41" s="84" t="s">
        <v>7</v>
      </c>
      <c r="B41" s="85">
        <f>+B33</f>
        <v>117455</v>
      </c>
      <c r="C41" s="85">
        <f>73331+73976+B41</f>
        <v>264762</v>
      </c>
      <c r="D41" s="85">
        <f>200521+496+193940-13+208101-290+C41</f>
        <v>867517</v>
      </c>
      <c r="E41" s="85">
        <f>205487+206172+D41</f>
        <v>1279176</v>
      </c>
      <c r="F41" s="85">
        <f>206046+106+206181+E41</f>
        <v>1691509</v>
      </c>
      <c r="G41" s="85"/>
      <c r="H41" s="85"/>
      <c r="I41" s="85"/>
      <c r="J41" s="85"/>
      <c r="K41" s="85"/>
      <c r="L41" s="85"/>
      <c r="M41" s="86"/>
    </row>
    <row r="42" spans="1:13" ht="15.75">
      <c r="A42" s="84" t="s">
        <v>8</v>
      </c>
      <c r="B42" s="85">
        <f>+B44-B41</f>
        <v>149678</v>
      </c>
      <c r="C42" s="85">
        <f>+C44-C41</f>
        <v>466623</v>
      </c>
      <c r="D42" s="85">
        <f>+D44-D41</f>
        <v>1304132</v>
      </c>
      <c r="E42" s="85">
        <f>+E44-E41</f>
        <v>1721110</v>
      </c>
      <c r="F42" s="85">
        <f>+F44-F41</f>
        <v>2130650</v>
      </c>
      <c r="G42" s="85"/>
      <c r="H42" s="85"/>
      <c r="I42" s="85"/>
      <c r="J42" s="85"/>
      <c r="K42" s="85"/>
      <c r="L42" s="85"/>
      <c r="M42" s="86"/>
    </row>
    <row r="43" spans="1:13">
      <c r="A43" s="88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</row>
    <row r="44" spans="1:13" ht="16.5" thickBot="1">
      <c r="A44" s="92" t="s">
        <v>5</v>
      </c>
      <c r="B44" s="3">
        <v>267133</v>
      </c>
      <c r="C44" s="3">
        <v>731385</v>
      </c>
      <c r="D44" s="3">
        <v>2171649</v>
      </c>
      <c r="E44" s="3">
        <v>3000286</v>
      </c>
      <c r="F44" s="3">
        <v>3822159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4">
        <v>0</v>
      </c>
    </row>
    <row r="48" spans="1:13" ht="15.7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1:13" ht="15.7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ht="15.7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1:13" ht="15.75">
      <c r="A51" s="76"/>
      <c r="B51" s="76"/>
      <c r="C51" s="75"/>
      <c r="D51" s="75"/>
      <c r="E51" s="76"/>
      <c r="F51" s="76"/>
      <c r="G51" s="76"/>
      <c r="H51" s="76"/>
      <c r="I51" s="76"/>
      <c r="J51" s="76"/>
      <c r="K51" s="76"/>
      <c r="L51" s="76"/>
      <c r="M51" s="76"/>
    </row>
    <row r="52" spans="1:13" ht="15.75">
      <c r="A52" s="76"/>
      <c r="B52" s="76"/>
      <c r="C52" s="75"/>
      <c r="D52" s="75"/>
      <c r="E52" s="76"/>
      <c r="F52" s="76"/>
      <c r="G52" s="76"/>
      <c r="H52" s="76"/>
      <c r="I52" s="76"/>
      <c r="J52" s="76"/>
      <c r="K52" s="76"/>
      <c r="L52" s="76"/>
      <c r="M52" s="76"/>
    </row>
    <row r="53" spans="1:13" ht="15.7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1:13" ht="15.7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61" spans="1:13">
      <c r="I61" s="69" t="s">
        <v>24</v>
      </c>
    </row>
    <row r="62" spans="1:13" ht="15.75">
      <c r="A62" s="75"/>
      <c r="B62" s="97"/>
      <c r="C62" s="97"/>
      <c r="D62" s="97"/>
      <c r="E62" s="97"/>
      <c r="F62" s="97"/>
      <c r="G62" s="97"/>
      <c r="H62" s="97"/>
    </row>
    <row r="63" spans="1:13" ht="15.75">
      <c r="A63" s="75"/>
      <c r="B63" s="97"/>
      <c r="C63" s="97"/>
      <c r="D63" s="97"/>
      <c r="E63" s="97"/>
      <c r="F63" s="97"/>
      <c r="G63" s="97"/>
      <c r="H63" s="97"/>
    </row>
    <row r="64" spans="1:13" ht="15.75">
      <c r="A64" s="75"/>
      <c r="B64" s="97"/>
      <c r="C64" s="97"/>
      <c r="D64" s="97"/>
      <c r="E64" s="97"/>
      <c r="F64" s="97"/>
      <c r="G64" s="97"/>
      <c r="H64" s="97"/>
    </row>
    <row r="65" spans="1:8" ht="15.75">
      <c r="A65" s="75"/>
      <c r="B65" s="97"/>
      <c r="C65" s="97"/>
      <c r="D65" s="97"/>
      <c r="E65" s="97"/>
      <c r="F65" s="97"/>
      <c r="G65" s="97"/>
      <c r="H65" s="97"/>
    </row>
    <row r="66" spans="1:8" ht="15.75">
      <c r="A66" s="75"/>
      <c r="B66" s="97"/>
      <c r="C66" s="97"/>
      <c r="D66" s="97"/>
      <c r="E66" s="97"/>
      <c r="F66" s="97"/>
      <c r="G66" s="97"/>
      <c r="H66" s="97"/>
    </row>
    <row r="67" spans="1:8" ht="15.75">
      <c r="A67" s="75"/>
      <c r="B67" s="97"/>
      <c r="C67" s="97"/>
      <c r="D67" s="97"/>
      <c r="E67" s="97"/>
      <c r="F67" s="97"/>
      <c r="G67" s="97"/>
      <c r="H67" s="97"/>
    </row>
    <row r="68" spans="1:8" ht="15.75">
      <c r="A68" s="75"/>
      <c r="B68" s="97"/>
      <c r="C68" s="97"/>
      <c r="D68" s="97"/>
      <c r="E68" s="97"/>
      <c r="F68" s="97"/>
      <c r="G68" s="97"/>
      <c r="H68" s="97"/>
    </row>
    <row r="69" spans="1:8" ht="15.75">
      <c r="A69" s="75"/>
      <c r="B69" s="97"/>
      <c r="C69" s="97"/>
      <c r="D69" s="97"/>
      <c r="E69" s="97"/>
      <c r="F69" s="97"/>
      <c r="G69" s="97"/>
      <c r="H69" s="97"/>
    </row>
    <row r="70" spans="1:8" ht="15.75">
      <c r="A70" s="75"/>
      <c r="B70" s="97"/>
      <c r="C70" s="97"/>
      <c r="D70" s="97"/>
      <c r="E70" s="97"/>
      <c r="F70" s="97"/>
      <c r="G70" s="97"/>
      <c r="H70" s="97"/>
    </row>
    <row r="71" spans="1:8" ht="15.75">
      <c r="A71" s="75"/>
      <c r="B71" s="97"/>
      <c r="C71" s="97"/>
      <c r="D71" s="97"/>
      <c r="E71" s="97"/>
      <c r="F71" s="97"/>
      <c r="G71" s="97"/>
      <c r="H71" s="97"/>
    </row>
    <row r="72" spans="1:8" ht="15.75">
      <c r="A72" s="75"/>
      <c r="B72" s="97"/>
      <c r="C72" s="97"/>
      <c r="D72" s="97"/>
      <c r="E72" s="97"/>
      <c r="F72" s="97"/>
      <c r="G72" s="97"/>
      <c r="H72" s="97"/>
    </row>
    <row r="73" spans="1:8" ht="15.75">
      <c r="A73" s="75"/>
      <c r="B73" s="97"/>
      <c r="C73" s="97"/>
      <c r="D73" s="97"/>
      <c r="E73" s="97"/>
      <c r="F73" s="97"/>
      <c r="G73" s="97"/>
      <c r="H73" s="97"/>
    </row>
    <row r="74" spans="1:8" ht="15.75">
      <c r="A74" s="75"/>
      <c r="B74" s="97"/>
      <c r="C74" s="97"/>
      <c r="D74" s="97"/>
      <c r="E74" s="97"/>
      <c r="F74" s="97"/>
      <c r="G74" s="97"/>
      <c r="H74" s="97"/>
    </row>
    <row r="96" spans="1:5" ht="15.75">
      <c r="A96" s="75"/>
      <c r="B96" s="75"/>
      <c r="C96" s="76"/>
      <c r="D96" s="76"/>
      <c r="E96" s="76"/>
    </row>
    <row r="98" spans="1:8" ht="15.75">
      <c r="A98" s="75"/>
      <c r="B98" s="75"/>
      <c r="C98" s="75"/>
      <c r="D98" s="75"/>
      <c r="E98" s="75"/>
      <c r="F98" s="75"/>
      <c r="G98" s="76"/>
      <c r="H98" s="76"/>
    </row>
    <row r="101" spans="1:8" ht="15.75">
      <c r="A101" s="75"/>
      <c r="B101" s="75"/>
      <c r="C101" s="75"/>
      <c r="D101" s="76"/>
    </row>
    <row r="103" spans="1:8" ht="15.75">
      <c r="A103" s="75"/>
      <c r="C103" s="76" t="s">
        <v>9</v>
      </c>
      <c r="D103" s="76"/>
      <c r="E103" s="76"/>
      <c r="F103" s="98">
        <v>7666549</v>
      </c>
    </row>
  </sheetData>
  <phoneticPr fontId="13" type="noConversion"/>
  <printOptions horizontalCentered="1" verticalCentered="1"/>
  <pageMargins left="0.5" right="0.5" top="0.5" bottom="0.5" header="0.5" footer="0.5"/>
  <pageSetup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3"/>
  <sheetViews>
    <sheetView defaultGridColor="0" topLeftCell="A48" colorId="22" zoomScale="87" workbookViewId="0">
      <selection activeCell="J73" sqref="J73"/>
    </sheetView>
  </sheetViews>
  <sheetFormatPr defaultColWidth="12.5703125" defaultRowHeight="15"/>
  <cols>
    <col min="1" max="1" width="26.7109375" style="40" customWidth="1"/>
    <col min="2" max="2" width="13.7109375" style="40" customWidth="1"/>
    <col min="3" max="3" width="15.28515625" style="40" customWidth="1"/>
    <col min="4" max="4" width="15.140625" style="40" customWidth="1"/>
    <col min="5" max="13" width="14.5703125" style="40" customWidth="1"/>
    <col min="14" max="16384" width="12.5703125" style="40"/>
  </cols>
  <sheetData>
    <row r="1" spans="1:36" ht="20.25">
      <c r="A1" s="37" t="s">
        <v>34</v>
      </c>
      <c r="B1" s="38"/>
      <c r="C1" s="38"/>
      <c r="D1" s="38"/>
      <c r="E1" s="39"/>
      <c r="F1" s="39"/>
      <c r="G1" s="39"/>
      <c r="H1" s="39"/>
      <c r="I1" s="39"/>
      <c r="J1" s="39"/>
      <c r="K1" s="39"/>
      <c r="L1" s="39"/>
      <c r="M1" s="39"/>
    </row>
    <row r="2" spans="1:36" ht="18.75">
      <c r="A2" s="41" t="s">
        <v>28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</row>
    <row r="3" spans="1:3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36" ht="18.75" thickBot="1">
      <c r="A5" s="42" t="s">
        <v>22</v>
      </c>
      <c r="B5" s="43"/>
      <c r="C5" s="43"/>
      <c r="D5" s="44"/>
      <c r="E5" s="44"/>
      <c r="F5" s="44"/>
      <c r="G5" s="44"/>
      <c r="H5" s="44"/>
      <c r="I5" s="45"/>
      <c r="J5" s="45"/>
      <c r="K5" s="45"/>
      <c r="L5" s="45"/>
      <c r="M5" s="45"/>
    </row>
    <row r="6" spans="1:36" ht="15.75">
      <c r="A6" s="46"/>
      <c r="B6" s="47" t="s">
        <v>10</v>
      </c>
      <c r="C6" s="47" t="s">
        <v>11</v>
      </c>
      <c r="D6" s="47" t="s">
        <v>12</v>
      </c>
      <c r="E6" s="47" t="s">
        <v>13</v>
      </c>
      <c r="F6" s="47" t="s">
        <v>14</v>
      </c>
      <c r="G6" s="47" t="s">
        <v>15</v>
      </c>
      <c r="H6" s="47" t="s">
        <v>16</v>
      </c>
      <c r="I6" s="47" t="s">
        <v>17</v>
      </c>
      <c r="J6" s="47" t="s">
        <v>18</v>
      </c>
      <c r="K6" s="47" t="s">
        <v>19</v>
      </c>
      <c r="L6" s="47" t="s">
        <v>20</v>
      </c>
      <c r="M6" s="48" t="s">
        <v>21</v>
      </c>
    </row>
    <row r="7" spans="1:36" ht="15.7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36" ht="15.75">
      <c r="A8" s="83" t="s">
        <v>33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36" ht="15.75">
      <c r="A9" s="53" t="s">
        <v>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36" ht="15.75">
      <c r="A10" s="53" t="s">
        <v>2</v>
      </c>
      <c r="B10" s="56">
        <f>+B20</f>
        <v>15290</v>
      </c>
      <c r="C10" s="56">
        <f>+'General 04-05 (Template)'!C31*'General 05-06 (Original)'!$M$10</f>
        <v>265449.20067221386</v>
      </c>
      <c r="D10" s="56">
        <f>+'General 04-05 (Template)'!D31*'General 05-06 (Original)'!$M$10</f>
        <v>984033.21990624</v>
      </c>
      <c r="E10" s="56">
        <f>+'General 04-05 (Template)'!E31*'General 05-06 (Original)'!$M$10</f>
        <v>1073198.0853034174</v>
      </c>
      <c r="F10" s="56">
        <f>+'General 04-05 (Template)'!F31*'General 05-06 (Original)'!$M$10</f>
        <v>1162065.98802968</v>
      </c>
      <c r="G10" s="56">
        <f>+'General 04-05 (Template)'!G31*'General 05-06 (Original)'!$M$10</f>
        <v>1246541.969149255</v>
      </c>
      <c r="H10" s="56">
        <f>+'General 04-05 (Template)'!H31*'General 05-06 (Original)'!$M$10</f>
        <v>1347264.4133035811</v>
      </c>
      <c r="I10" s="56">
        <f>+'General 04-05 (Template)'!I31*'General 05-06 (Original)'!$M$10</f>
        <v>1396001.7184592681</v>
      </c>
      <c r="J10" s="56">
        <f>+'General 04-05 (Template)'!J31*'General 05-06 (Original)'!$M$10</f>
        <v>1457152.0632591951</v>
      </c>
      <c r="K10" s="56">
        <f>+'General 04-05 (Template)'!K31*'General 05-06 (Original)'!$M$10</f>
        <v>1567763.8853421274</v>
      </c>
      <c r="L10" s="56">
        <f>+'General 04-05 (Template)'!L31*'General 05-06 (Original)'!$M$10</f>
        <v>1607548.5474504447</v>
      </c>
      <c r="M10" s="55">
        <v>1679649</v>
      </c>
    </row>
    <row r="11" spans="1:36" ht="15.75">
      <c r="A11" s="53" t="s">
        <v>27</v>
      </c>
      <c r="B11" s="54">
        <f>+'General 04-05 (Template)'!B33*'General 05-06 (Original)'!$M$11</f>
        <v>0</v>
      </c>
      <c r="C11" s="54">
        <f>+'General 04-05 (Template)'!C33*'General 05-06 (Original)'!$M$11</f>
        <v>0</v>
      </c>
      <c r="D11" s="54">
        <f>+'General 04-05 (Template)'!D33*'General 05-06 (Original)'!$M$11</f>
        <v>0</v>
      </c>
      <c r="E11" s="54">
        <f>+'General 04-05 (Template)'!E33*'General 05-06 (Original)'!$M$11</f>
        <v>201999.15144212707</v>
      </c>
      <c r="F11" s="54">
        <f>+'General 04-05 (Template)'!F33*'General 05-06 (Original)'!$M$11</f>
        <v>595061.28382899542</v>
      </c>
      <c r="G11" s="54">
        <f>+'General 04-05 (Template)'!G33*'General 05-06 (Original)'!$M$11</f>
        <v>839782.32748836523</v>
      </c>
      <c r="H11" s="54">
        <f>+'General 04-05 (Template)'!H33*'General 05-06 (Original)'!$M$11</f>
        <v>1051019.5014507454</v>
      </c>
      <c r="I11" s="54">
        <f>+'General 04-05 (Template)'!I33*'General 05-06 (Original)'!$M$11</f>
        <v>1301934.5794760964</v>
      </c>
      <c r="J11" s="54">
        <f>+'General 04-05 (Template)'!J33*'General 05-06 (Original)'!$M$11</f>
        <v>1518750.1634480671</v>
      </c>
      <c r="K11" s="54">
        <f>+'General 04-05 (Template)'!K33*'General 05-06 (Original)'!$M$11</f>
        <v>1754246.5942266299</v>
      </c>
      <c r="L11" s="54">
        <f>+'General 04-05 (Template)'!L33*'General 05-06 (Original)'!$M$11</f>
        <v>1974948.5355217159</v>
      </c>
      <c r="M11" s="55">
        <v>2206622</v>
      </c>
    </row>
    <row r="12" spans="1:36" ht="15.75">
      <c r="A12" s="53" t="s">
        <v>4</v>
      </c>
      <c r="B12" s="54">
        <f>+B22</f>
        <v>3383</v>
      </c>
      <c r="C12" s="54">
        <f>+B12</f>
        <v>3383</v>
      </c>
      <c r="D12" s="54">
        <f>+'General 04-05 (Template)'!D35*'General 05-06 (Original)'!$M$12</f>
        <v>3755.3573545626959</v>
      </c>
      <c r="E12" s="54">
        <f>+'General 04-05 (Template)'!E35*'General 05-06 (Original)'!$M$12</f>
        <v>3755.3573545626959</v>
      </c>
      <c r="F12" s="54">
        <f>+'General 04-05 (Template)'!F35*'General 05-06 (Original)'!$M$12</f>
        <v>123111.23529528515</v>
      </c>
      <c r="G12" s="54">
        <f>+'General 04-05 (Template)'!G35*'General 05-06 (Original)'!$M$12</f>
        <v>123111.23529528515</v>
      </c>
      <c r="H12" s="54">
        <f>+'General 04-05 (Template)'!H35*'General 05-06 (Original)'!$M$12</f>
        <v>223961.69261235831</v>
      </c>
      <c r="I12" s="54">
        <f>+'General 04-05 (Template)'!I35*'General 05-06 (Original)'!$M$12</f>
        <v>227438.3890288008</v>
      </c>
      <c r="J12" s="54">
        <f>+'General 04-05 (Template)'!J35*'General 05-06 (Original)'!$M$12</f>
        <v>341302.74984342605</v>
      </c>
      <c r="K12" s="54">
        <f>+'General 04-05 (Template)'!K35*'General 05-06 (Original)'!$M$12</f>
        <v>380173.76227451157</v>
      </c>
      <c r="L12" s="54">
        <f>+'General 04-05 (Template)'!L35*'General 05-06 (Original)'!$M$12</f>
        <v>390478.38115379523</v>
      </c>
      <c r="M12" s="55">
        <v>661579</v>
      </c>
    </row>
    <row r="13" spans="1:36" ht="15.75">
      <c r="A13" s="53" t="s">
        <v>25</v>
      </c>
      <c r="B13" s="54">
        <f>+'General 04-05 (Template)'!B37*'General 05-06 (Original)'!$M$13</f>
        <v>0</v>
      </c>
      <c r="C13" s="54">
        <f>+'General 04-05 (Template)'!C37*'General 05-06 (Original)'!$M$13</f>
        <v>0</v>
      </c>
      <c r="D13" s="54">
        <f>+'General 04-05 (Template)'!D37*'General 05-06 (Original)'!$M$13</f>
        <v>0</v>
      </c>
      <c r="E13" s="54">
        <f>+'General 04-05 (Template)'!E37*'General 05-06 (Original)'!$M$13</f>
        <v>3991.1438628705237</v>
      </c>
      <c r="F13" s="54">
        <f>+'General 04-05 (Template)'!F37*'General 05-06 (Original)'!$M$13</f>
        <v>51968.905786756528</v>
      </c>
      <c r="G13" s="54">
        <f>+'General 04-05 (Template)'!G37*'General 05-06 (Original)'!$M$13</f>
        <v>2866172.7912334665</v>
      </c>
      <c r="H13" s="54">
        <f>+'General 04-05 (Template)'!H37*'General 05-06 (Original)'!$M$13</f>
        <v>2900399.2781581269</v>
      </c>
      <c r="I13" s="54">
        <f>+'General 04-05 (Template)'!I37*'General 05-06 (Original)'!$M$13</f>
        <v>2918380.7072761618</v>
      </c>
      <c r="J13" s="54">
        <f>+'General 04-05 (Template)'!J37*'General 05-06 (Original)'!$M$13</f>
        <v>2814203.88544671</v>
      </c>
      <c r="K13" s="54">
        <f>+'General 04-05 (Template)'!K37*'General 05-06 (Original)'!$M$13</f>
        <v>3223473.4791835877</v>
      </c>
      <c r="L13" s="54">
        <f>+'General 04-05 (Template)'!L37*'General 05-06 (Original)'!$M$13</f>
        <v>3223244.2912669335</v>
      </c>
      <c r="M13" s="55">
        <v>3277325</v>
      </c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36" ht="15.75">
      <c r="A15" s="53" t="s">
        <v>5</v>
      </c>
      <c r="B15" s="1">
        <f t="shared" ref="B15:M15" si="0">SUM(B10:B14)</f>
        <v>18673</v>
      </c>
      <c r="C15" s="1">
        <f t="shared" si="0"/>
        <v>268832.20067221386</v>
      </c>
      <c r="D15" s="1">
        <f t="shared" si="0"/>
        <v>987788.57726080273</v>
      </c>
      <c r="E15" s="1">
        <f t="shared" si="0"/>
        <v>1282943.7379629777</v>
      </c>
      <c r="F15" s="1">
        <f t="shared" si="0"/>
        <v>1932207.4129407171</v>
      </c>
      <c r="G15" s="1">
        <f t="shared" si="0"/>
        <v>5075608.3231663723</v>
      </c>
      <c r="H15" s="1">
        <f t="shared" si="0"/>
        <v>5522644.8855248112</v>
      </c>
      <c r="I15" s="1">
        <f t="shared" si="0"/>
        <v>5843755.3942403272</v>
      </c>
      <c r="J15" s="1">
        <f t="shared" si="0"/>
        <v>6131408.8619973976</v>
      </c>
      <c r="K15" s="1">
        <f t="shared" si="0"/>
        <v>6925657.7210268565</v>
      </c>
      <c r="L15" s="1">
        <f t="shared" si="0"/>
        <v>7196219.7553928895</v>
      </c>
      <c r="M15" s="2">
        <f t="shared" si="0"/>
        <v>7825175</v>
      </c>
    </row>
    <row r="16" spans="1:36" ht="15.75">
      <c r="A16" s="5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53"/>
      <c r="B17" s="1"/>
      <c r="C17" s="1"/>
      <c r="D17" s="1"/>
      <c r="E17" s="1"/>
      <c r="F17" s="1"/>
      <c r="G17" s="1"/>
      <c r="H17" s="102"/>
      <c r="I17" s="1"/>
      <c r="J17" s="1"/>
      <c r="K17" s="1"/>
      <c r="L17" s="1"/>
      <c r="M17" s="2"/>
    </row>
    <row r="18" spans="1:16" ht="15.75">
      <c r="A18" s="52" t="s">
        <v>36</v>
      </c>
      <c r="B18" s="1"/>
      <c r="C18" s="1"/>
      <c r="D18" s="1"/>
      <c r="E18" s="101"/>
      <c r="F18" s="101"/>
      <c r="G18" s="110"/>
      <c r="H18" s="102"/>
      <c r="I18" s="1"/>
      <c r="J18" s="1"/>
      <c r="K18" s="1"/>
      <c r="L18" s="1"/>
      <c r="M18" s="2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56">
        <f t="shared" ref="B20:F23" si="1">+B30</f>
        <v>15290</v>
      </c>
      <c r="C20" s="56">
        <f t="shared" si="1"/>
        <v>290901</v>
      </c>
      <c r="D20" s="56">
        <f t="shared" si="1"/>
        <v>950719</v>
      </c>
      <c r="E20" s="56">
        <f t="shared" si="1"/>
        <v>1096838</v>
      </c>
      <c r="F20" s="56">
        <f t="shared" si="1"/>
        <v>1157864</v>
      </c>
      <c r="G20" s="56">
        <v>1212998</v>
      </c>
      <c r="H20" s="56">
        <f>+M20*0.78</f>
        <v>1273688.52</v>
      </c>
      <c r="I20" s="56">
        <f>+M20*0.81</f>
        <v>1322676.54</v>
      </c>
      <c r="J20" s="56">
        <f>+M20*0.85</f>
        <v>1387993.9</v>
      </c>
      <c r="K20" s="56">
        <f>+M20*0.93</f>
        <v>1518628.62</v>
      </c>
      <c r="L20" s="56">
        <f>+M20*0.96</f>
        <v>1567616.64</v>
      </c>
      <c r="M20" s="55">
        <v>1632934</v>
      </c>
    </row>
    <row r="21" spans="1:16" ht="15.75">
      <c r="A21" s="84" t="s">
        <v>3</v>
      </c>
      <c r="B21" s="54">
        <f t="shared" si="1"/>
        <v>0</v>
      </c>
      <c r="C21" s="54">
        <f t="shared" si="1"/>
        <v>36562</v>
      </c>
      <c r="D21" s="54">
        <f t="shared" si="1"/>
        <v>45562</v>
      </c>
      <c r="E21" s="54">
        <f t="shared" si="1"/>
        <v>253495</v>
      </c>
      <c r="F21" s="54">
        <f t="shared" si="1"/>
        <v>602137</v>
      </c>
      <c r="G21" s="54">
        <v>784567</v>
      </c>
      <c r="H21" s="54">
        <f>+G21+175272</f>
        <v>959839</v>
      </c>
      <c r="I21" s="54">
        <f>+H21+188654</f>
        <v>1148493</v>
      </c>
      <c r="J21" s="54">
        <f>+I21+188654</f>
        <v>1337147</v>
      </c>
      <c r="K21" s="54">
        <f>+J21+188654</f>
        <v>1525801</v>
      </c>
      <c r="L21" s="54">
        <f>+K21+188654</f>
        <v>1714455</v>
      </c>
      <c r="M21" s="55">
        <v>2316025</v>
      </c>
    </row>
    <row r="22" spans="1:16" ht="15.75">
      <c r="A22" s="84" t="s">
        <v>4</v>
      </c>
      <c r="B22" s="54">
        <f t="shared" si="1"/>
        <v>3383</v>
      </c>
      <c r="C22" s="54">
        <f t="shared" si="1"/>
        <v>1296</v>
      </c>
      <c r="D22" s="54">
        <f t="shared" si="1"/>
        <v>1726</v>
      </c>
      <c r="E22" s="54">
        <f t="shared" si="1"/>
        <v>1726</v>
      </c>
      <c r="F22" s="54">
        <f t="shared" si="1"/>
        <v>41780</v>
      </c>
      <c r="G22" s="54">
        <v>47346</v>
      </c>
      <c r="H22" s="54">
        <f>+G22+7509</f>
        <v>54855</v>
      </c>
      <c r="I22" s="54">
        <f>+M22*19%</f>
        <v>122438.66</v>
      </c>
      <c r="J22" s="54">
        <f>+M22*37%</f>
        <v>238433.18</v>
      </c>
      <c r="K22" s="54">
        <f>+M22*54%</f>
        <v>347983.56</v>
      </c>
      <c r="L22" s="54">
        <f>+M22*61%</f>
        <v>393092.54</v>
      </c>
      <c r="M22" s="55">
        <v>644414</v>
      </c>
    </row>
    <row r="23" spans="1:16" ht="15.75">
      <c r="A23" s="84" t="s">
        <v>25</v>
      </c>
      <c r="B23" s="54">
        <f t="shared" si="1"/>
        <v>0</v>
      </c>
      <c r="C23" s="54">
        <f t="shared" si="1"/>
        <v>0</v>
      </c>
      <c r="D23" s="54">
        <f t="shared" si="1"/>
        <v>0</v>
      </c>
      <c r="E23" s="54">
        <f t="shared" si="1"/>
        <v>0</v>
      </c>
      <c r="F23" s="54">
        <f t="shared" si="1"/>
        <v>0</v>
      </c>
      <c r="G23" s="54">
        <v>0</v>
      </c>
      <c r="H23" s="54">
        <v>2618971</v>
      </c>
      <c r="I23" s="54">
        <f>+H23</f>
        <v>2618971</v>
      </c>
      <c r="J23" s="54">
        <f>+I23</f>
        <v>2618971</v>
      </c>
      <c r="K23" s="54">
        <f>+J23+620317-1000</f>
        <v>3238288</v>
      </c>
      <c r="L23" s="54">
        <f>+K23</f>
        <v>3238288</v>
      </c>
      <c r="M23" s="55">
        <f>2618971+620317</f>
        <v>3239288</v>
      </c>
    </row>
    <row r="24" spans="1:16">
      <c r="A24" s="8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6" ht="15.75">
      <c r="A25" s="84" t="s">
        <v>5</v>
      </c>
      <c r="B25" s="1">
        <f t="shared" ref="B25:G25" si="2">SUM(B20:B24)</f>
        <v>18673</v>
      </c>
      <c r="C25" s="1">
        <f t="shared" si="2"/>
        <v>328759</v>
      </c>
      <c r="D25" s="1">
        <f t="shared" si="2"/>
        <v>998007</v>
      </c>
      <c r="E25" s="1">
        <f t="shared" si="2"/>
        <v>1352059</v>
      </c>
      <c r="F25" s="1">
        <f t="shared" si="2"/>
        <v>1801781</v>
      </c>
      <c r="G25" s="1">
        <f t="shared" si="2"/>
        <v>2044911</v>
      </c>
      <c r="H25" s="1">
        <f t="shared" ref="H25:M25" si="3">SUM(H20:H24)</f>
        <v>4907353.5199999996</v>
      </c>
      <c r="I25" s="1">
        <f t="shared" si="3"/>
        <v>5212579.2</v>
      </c>
      <c r="J25" s="1">
        <f t="shared" si="3"/>
        <v>5582545.0800000001</v>
      </c>
      <c r="K25" s="1">
        <f t="shared" si="3"/>
        <v>6630701.1799999997</v>
      </c>
      <c r="L25" s="1">
        <f t="shared" si="3"/>
        <v>6913452.1799999997</v>
      </c>
      <c r="M25" s="2">
        <f t="shared" si="3"/>
        <v>7832661</v>
      </c>
    </row>
    <row r="26" spans="1:16" ht="15.75">
      <c r="A26" s="5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5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35</v>
      </c>
      <c r="B28" s="5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6" ht="15.75">
      <c r="A29" s="53" t="s">
        <v>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6" ht="15.75">
      <c r="A30" s="53" t="s">
        <v>2</v>
      </c>
      <c r="B30" s="56">
        <v>15290</v>
      </c>
      <c r="C30" s="56">
        <v>290901</v>
      </c>
      <c r="D30" s="56">
        <v>950719</v>
      </c>
      <c r="E30" s="58">
        <v>1096838</v>
      </c>
      <c r="F30" s="56">
        <v>1157864</v>
      </c>
      <c r="G30" s="56">
        <f>+G20</f>
        <v>1212998</v>
      </c>
      <c r="H30" s="56">
        <v>1275600</v>
      </c>
      <c r="I30" s="56"/>
      <c r="J30" s="56"/>
      <c r="K30" s="56"/>
      <c r="L30" s="56"/>
      <c r="M30" s="59"/>
      <c r="N30" s="45"/>
      <c r="O30" s="45"/>
      <c r="P30" s="45"/>
    </row>
    <row r="31" spans="1:16" ht="15.75">
      <c r="A31" s="53" t="s">
        <v>3</v>
      </c>
      <c r="B31" s="54">
        <v>0</v>
      </c>
      <c r="C31" s="54">
        <v>36562</v>
      </c>
      <c r="D31" s="54">
        <v>45562</v>
      </c>
      <c r="E31" s="60">
        <v>253495</v>
      </c>
      <c r="F31" s="54">
        <v>602137</v>
      </c>
      <c r="G31" s="54">
        <f>+G21</f>
        <v>784567</v>
      </c>
      <c r="H31" s="54">
        <v>979145</v>
      </c>
      <c r="I31" s="54"/>
      <c r="J31" s="54"/>
      <c r="K31" s="54"/>
      <c r="L31" s="54"/>
      <c r="M31" s="55"/>
    </row>
    <row r="32" spans="1:16" ht="15.75">
      <c r="A32" s="53" t="s">
        <v>4</v>
      </c>
      <c r="B32" s="54">
        <v>3383</v>
      </c>
      <c r="C32" s="54">
        <v>1296</v>
      </c>
      <c r="D32" s="54">
        <v>1726</v>
      </c>
      <c r="E32" s="60">
        <v>1726</v>
      </c>
      <c r="F32" s="54">
        <v>41780</v>
      </c>
      <c r="G32" s="54">
        <f>+G22</f>
        <v>47346</v>
      </c>
      <c r="H32" s="54">
        <v>54856</v>
      </c>
      <c r="I32" s="54"/>
      <c r="J32" s="54"/>
      <c r="K32" s="54"/>
      <c r="L32" s="54"/>
      <c r="M32" s="55"/>
    </row>
    <row r="33" spans="1:14" ht="15.75">
      <c r="A33" s="53" t="s">
        <v>25</v>
      </c>
      <c r="B33" s="54">
        <v>0</v>
      </c>
      <c r="C33" s="60">
        <v>0</v>
      </c>
      <c r="D33" s="60">
        <v>0</v>
      </c>
      <c r="E33" s="54">
        <v>0</v>
      </c>
      <c r="F33" s="54">
        <v>0</v>
      </c>
      <c r="G33" s="54">
        <f>+G23</f>
        <v>0</v>
      </c>
      <c r="H33" s="54">
        <f>200239+2613177</f>
        <v>2813416</v>
      </c>
      <c r="I33" s="54"/>
      <c r="J33" s="54"/>
      <c r="K33" s="54"/>
      <c r="L33" s="54"/>
      <c r="M33" s="55"/>
    </row>
    <row r="34" spans="1:14">
      <c r="A34" s="5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4" ht="16.5" thickBot="1">
      <c r="A35" s="61" t="s">
        <v>5</v>
      </c>
      <c r="B35" s="3">
        <f>SUM(B30:B34)</f>
        <v>18673</v>
      </c>
      <c r="C35" s="3">
        <f>SUM(C30:C34)</f>
        <v>328759</v>
      </c>
      <c r="D35" s="3">
        <f>SUM(D30:D34)</f>
        <v>998007</v>
      </c>
      <c r="E35" s="3">
        <f>SUM(E30:E34)</f>
        <v>1352059</v>
      </c>
      <c r="F35" s="3">
        <f>SUM(F30:F34)</f>
        <v>1801781</v>
      </c>
      <c r="G35" s="3">
        <f t="shared" ref="G35:M35" si="4">SUM(G30:G34)</f>
        <v>2044911</v>
      </c>
      <c r="H35" s="3">
        <f t="shared" si="4"/>
        <v>5123017</v>
      </c>
      <c r="I35" s="3">
        <f t="shared" si="4"/>
        <v>0</v>
      </c>
      <c r="J35" s="3">
        <f t="shared" si="4"/>
        <v>0</v>
      </c>
      <c r="K35" s="3">
        <f t="shared" si="4"/>
        <v>0</v>
      </c>
      <c r="L35" s="3">
        <f t="shared" si="4"/>
        <v>0</v>
      </c>
      <c r="M35" s="4">
        <f t="shared" si="4"/>
        <v>0</v>
      </c>
    </row>
    <row r="36" spans="1:14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62"/>
    </row>
    <row r="37" spans="1:14" ht="15.75">
      <c r="A37" s="56"/>
      <c r="B37" s="50"/>
      <c r="C37" s="5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62"/>
    </row>
    <row r="38" spans="1:14" ht="18.75" thickBot="1">
      <c r="A38" s="63" t="s">
        <v>23</v>
      </c>
      <c r="B38" s="56"/>
      <c r="C38" s="56"/>
      <c r="D38" s="56"/>
      <c r="E38" s="56"/>
      <c r="F38" s="56"/>
      <c r="G38" s="56"/>
      <c r="H38" s="56"/>
      <c r="I38" s="56"/>
      <c r="J38" s="50"/>
      <c r="K38" s="54"/>
      <c r="L38" s="54"/>
      <c r="M38" s="54"/>
      <c r="N38" s="62"/>
    </row>
    <row r="39" spans="1:14" ht="15.75">
      <c r="A39" s="46"/>
      <c r="B39" s="47" t="s">
        <v>10</v>
      </c>
      <c r="C39" s="47" t="s">
        <v>11</v>
      </c>
      <c r="D39" s="47" t="s">
        <v>12</v>
      </c>
      <c r="E39" s="47" t="s">
        <v>13</v>
      </c>
      <c r="F39" s="47" t="s">
        <v>14</v>
      </c>
      <c r="G39" s="47" t="s">
        <v>15</v>
      </c>
      <c r="H39" s="47" t="s">
        <v>16</v>
      </c>
      <c r="I39" s="47" t="s">
        <v>17</v>
      </c>
      <c r="J39" s="47" t="s">
        <v>18</v>
      </c>
      <c r="K39" s="47" t="s">
        <v>19</v>
      </c>
      <c r="L39" s="47" t="s">
        <v>20</v>
      </c>
      <c r="M39" s="48" t="s">
        <v>21</v>
      </c>
    </row>
    <row r="40" spans="1:14" ht="15.75">
      <c r="A40" s="4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51"/>
    </row>
    <row r="41" spans="1:14" ht="15.75">
      <c r="A41" s="83" t="s">
        <v>33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51"/>
    </row>
    <row r="42" spans="1:14" ht="15.75">
      <c r="A42" s="53" t="s">
        <v>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55"/>
    </row>
    <row r="43" spans="1:14" ht="15.75">
      <c r="A43" s="53" t="s">
        <v>7</v>
      </c>
      <c r="B43" s="99">
        <v>214778</v>
      </c>
      <c r="C43" s="99">
        <v>457112</v>
      </c>
      <c r="D43" s="99">
        <v>820612</v>
      </c>
      <c r="E43" s="99">
        <v>1093664</v>
      </c>
      <c r="F43" s="99">
        <v>1366717</v>
      </c>
      <c r="G43" s="99">
        <v>1639769</v>
      </c>
      <c r="H43" s="99">
        <v>1912821</v>
      </c>
      <c r="I43" s="99">
        <v>2185873</v>
      </c>
      <c r="J43" s="99">
        <v>2595451</v>
      </c>
      <c r="K43" s="99">
        <v>2868503</v>
      </c>
      <c r="L43" s="99">
        <v>3141556</v>
      </c>
      <c r="M43" s="55">
        <v>3413152</v>
      </c>
    </row>
    <row r="44" spans="1:14" ht="15.75">
      <c r="A44" s="53" t="s">
        <v>8</v>
      </c>
      <c r="B44" s="99">
        <f>+'General 05-06 (Original)'!B34</f>
        <v>259091</v>
      </c>
      <c r="C44" s="99">
        <f>+'General 05-06 (Original)'!C34</f>
        <v>681842.31669598876</v>
      </c>
      <c r="D44" s="99">
        <f>+'General 05-06 (Original)'!D34</f>
        <v>1102352.4302108067</v>
      </c>
      <c r="E44" s="99">
        <f>+'General 05-06 (Original)'!E34</f>
        <v>1451438.9769167698</v>
      </c>
      <c r="F44" s="99">
        <f>+'General 05-06 (Original)'!F34</f>
        <v>1802746.1455923184</v>
      </c>
      <c r="G44" s="99">
        <f>+'General 05-06 (Original)'!G34</f>
        <v>2119784.8214987381</v>
      </c>
      <c r="H44" s="99">
        <f>+'General 05-06 (Original)'!H34</f>
        <v>2424207.2280177916</v>
      </c>
      <c r="I44" s="99">
        <f>+'General 05-06 (Original)'!I34</f>
        <v>2768774.1157815638</v>
      </c>
      <c r="J44" s="99">
        <f>+'General 05-06 (Original)'!J34</f>
        <v>3169157.7118545412</v>
      </c>
      <c r="K44" s="99">
        <f>+'General 05-06 (Original)'!K34</f>
        <v>3683425.439693484</v>
      </c>
      <c r="L44" s="99">
        <f>+'General 05-06 (Original)'!L34</f>
        <v>4160343.2151634553</v>
      </c>
      <c r="M44" s="55">
        <f>M46-M43</f>
        <v>4737464</v>
      </c>
    </row>
    <row r="45" spans="1:14" ht="15.75">
      <c r="A45" s="53"/>
      <c r="B45" s="99"/>
      <c r="C45" s="99"/>
      <c r="D45" s="99"/>
      <c r="E45" s="99"/>
      <c r="F45" s="99"/>
      <c r="G45" s="99"/>
      <c r="H45" s="99">
        <v>8</v>
      </c>
      <c r="I45" s="99"/>
      <c r="J45" s="99"/>
      <c r="K45" s="99"/>
      <c r="L45" s="99"/>
      <c r="M45" s="55"/>
    </row>
    <row r="46" spans="1:14" ht="15.75">
      <c r="A46" s="53" t="s">
        <v>5</v>
      </c>
      <c r="B46" s="100">
        <f>+B43+B44</f>
        <v>473869</v>
      </c>
      <c r="C46" s="100">
        <f t="shared" ref="C46:L46" si="5">+C43+C44</f>
        <v>1138954.3166959886</v>
      </c>
      <c r="D46" s="100">
        <f t="shared" si="5"/>
        <v>1922964.4302108067</v>
      </c>
      <c r="E46" s="100">
        <f t="shared" si="5"/>
        <v>2545102.9769167695</v>
      </c>
      <c r="F46" s="100">
        <f t="shared" si="5"/>
        <v>3169463.1455923184</v>
      </c>
      <c r="G46" s="100">
        <f t="shared" si="5"/>
        <v>3759553.8214987381</v>
      </c>
      <c r="H46" s="100">
        <f t="shared" si="5"/>
        <v>4337028.2280177921</v>
      </c>
      <c r="I46" s="100">
        <f t="shared" si="5"/>
        <v>4954647.1157815643</v>
      </c>
      <c r="J46" s="100">
        <f t="shared" si="5"/>
        <v>5764608.7118545417</v>
      </c>
      <c r="K46" s="100">
        <f t="shared" si="5"/>
        <v>6551928.4396934845</v>
      </c>
      <c r="L46" s="100">
        <f t="shared" si="5"/>
        <v>7301899.2151634553</v>
      </c>
      <c r="M46" s="2">
        <v>8150616</v>
      </c>
      <c r="N46" s="44"/>
    </row>
    <row r="47" spans="1:14" ht="15.75">
      <c r="A47" s="57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55"/>
    </row>
    <row r="48" spans="1:14" ht="15.75">
      <c r="A48" s="53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"/>
    </row>
    <row r="49" spans="1:14" ht="15.75">
      <c r="A49" s="52" t="s">
        <v>36</v>
      </c>
      <c r="B49" s="100"/>
      <c r="C49" s="100"/>
      <c r="D49" s="100"/>
      <c r="E49" s="100"/>
      <c r="F49" s="103"/>
      <c r="G49" s="103"/>
      <c r="H49" s="103"/>
      <c r="I49" s="103"/>
      <c r="J49" s="103"/>
      <c r="K49" s="103"/>
      <c r="L49" s="103"/>
      <c r="M49" s="104"/>
    </row>
    <row r="50" spans="1:14" ht="15.75">
      <c r="A50" s="84" t="s">
        <v>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2"/>
    </row>
    <row r="51" spans="1:14" ht="15.75">
      <c r="A51" s="84" t="s">
        <v>7</v>
      </c>
      <c r="B51" s="99">
        <v>214778</v>
      </c>
      <c r="C51" s="99">
        <v>457438</v>
      </c>
      <c r="D51" s="99">
        <v>820193</v>
      </c>
      <c r="E51" s="99">
        <v>1061768</v>
      </c>
      <c r="F51" s="99">
        <v>1305599</v>
      </c>
      <c r="G51" s="99">
        <f>+G59</f>
        <v>1547774</v>
      </c>
      <c r="H51" s="99">
        <v>1796195</v>
      </c>
      <c r="I51" s="99">
        <v>2052969</v>
      </c>
      <c r="J51" s="99">
        <v>2438130</v>
      </c>
      <c r="K51" s="99">
        <v>2694904</v>
      </c>
      <c r="L51" s="99">
        <v>2951678</v>
      </c>
      <c r="M51" s="55">
        <v>3209675</v>
      </c>
    </row>
    <row r="52" spans="1:14" ht="15.75">
      <c r="A52" s="84" t="s">
        <v>8</v>
      </c>
      <c r="B52" s="99">
        <v>259091</v>
      </c>
      <c r="C52" s="99">
        <v>619490</v>
      </c>
      <c r="D52" s="99">
        <v>976673</v>
      </c>
      <c r="E52" s="99">
        <v>1292015</v>
      </c>
      <c r="F52" s="99">
        <v>1561062</v>
      </c>
      <c r="G52" s="99">
        <f>+G60</f>
        <v>1919603</v>
      </c>
      <c r="H52" s="99">
        <f>+M52*47%</f>
        <v>2217540.84</v>
      </c>
      <c r="I52" s="99">
        <f>+M52*57%</f>
        <v>2689358.0399999996</v>
      </c>
      <c r="J52" s="99">
        <f>+M52*63%</f>
        <v>2972448.36</v>
      </c>
      <c r="K52" s="99">
        <f>+M52*71%</f>
        <v>3349902.1199999996</v>
      </c>
      <c r="L52" s="99">
        <f>+M52*86%</f>
        <v>4057627.92</v>
      </c>
      <c r="M52" s="55">
        <f>+M54-M51</f>
        <v>4718172</v>
      </c>
    </row>
    <row r="53" spans="1:14" ht="15.75">
      <c r="A53" s="88"/>
      <c r="B53" s="99"/>
      <c r="C53" s="99"/>
      <c r="D53" s="99"/>
      <c r="E53" s="99"/>
      <c r="F53" s="99"/>
      <c r="G53" s="99"/>
      <c r="H53" s="100"/>
      <c r="I53" s="100"/>
      <c r="J53" s="100"/>
      <c r="K53" s="100"/>
      <c r="L53" s="100"/>
      <c r="M53" s="2"/>
    </row>
    <row r="54" spans="1:14" ht="15.75">
      <c r="A54" s="84" t="s">
        <v>5</v>
      </c>
      <c r="B54" s="1">
        <f t="shared" ref="B54:L54" si="6">SUM(B51:B53)</f>
        <v>473869</v>
      </c>
      <c r="C54" s="1">
        <f t="shared" si="6"/>
        <v>1076928</v>
      </c>
      <c r="D54" s="1">
        <f t="shared" si="6"/>
        <v>1796866</v>
      </c>
      <c r="E54" s="1">
        <f t="shared" si="6"/>
        <v>2353783</v>
      </c>
      <c r="F54" s="1">
        <f t="shared" si="6"/>
        <v>2866661</v>
      </c>
      <c r="G54" s="1">
        <f t="shared" si="6"/>
        <v>3467377</v>
      </c>
      <c r="H54" s="100">
        <f t="shared" si="6"/>
        <v>4013735.84</v>
      </c>
      <c r="I54" s="100">
        <f t="shared" si="6"/>
        <v>4742327.0399999991</v>
      </c>
      <c r="J54" s="100">
        <f t="shared" si="6"/>
        <v>5410578.3599999994</v>
      </c>
      <c r="K54" s="100">
        <f t="shared" si="6"/>
        <v>6044806.1199999992</v>
      </c>
      <c r="L54" s="100">
        <f t="shared" si="6"/>
        <v>7009305.9199999999</v>
      </c>
      <c r="M54" s="2">
        <v>7927847</v>
      </c>
    </row>
    <row r="55" spans="1:14" ht="15.75">
      <c r="A55" s="5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2"/>
    </row>
    <row r="56" spans="1:14" ht="15.75">
      <c r="A56" s="53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2"/>
    </row>
    <row r="57" spans="1:14" ht="15.75">
      <c r="A57" s="52" t="s">
        <v>35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2"/>
    </row>
    <row r="58" spans="1:14" ht="15.75">
      <c r="A58" s="53" t="s">
        <v>6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2"/>
    </row>
    <row r="59" spans="1:14" ht="15.75">
      <c r="A59" s="53" t="s">
        <v>7</v>
      </c>
      <c r="B59" s="99">
        <v>214778</v>
      </c>
      <c r="C59" s="99">
        <f>119963+122697+B59</f>
        <v>457438</v>
      </c>
      <c r="D59" s="99">
        <f>122061+120678+120181-165+C59</f>
        <v>820193</v>
      </c>
      <c r="E59" s="99">
        <f>120037+765+120821-48+D59</f>
        <v>1061768</v>
      </c>
      <c r="F59" s="99">
        <f>121491+122340+E59</f>
        <v>1305599</v>
      </c>
      <c r="G59" s="99">
        <f>120757+121418+F59</f>
        <v>1547774</v>
      </c>
      <c r="H59" s="99">
        <f>120035+120883+G59</f>
        <v>1788692</v>
      </c>
      <c r="I59" s="99"/>
      <c r="J59" s="99"/>
      <c r="K59" s="99"/>
      <c r="L59" s="99"/>
      <c r="M59" s="51"/>
    </row>
    <row r="60" spans="1:14" ht="15.75">
      <c r="A60" s="53" t="s">
        <v>8</v>
      </c>
      <c r="B60" s="99">
        <f t="shared" ref="B60:H60" si="7">+B62-B59</f>
        <v>259091</v>
      </c>
      <c r="C60" s="99">
        <f t="shared" si="7"/>
        <v>619490</v>
      </c>
      <c r="D60" s="99">
        <f t="shared" si="7"/>
        <v>976673</v>
      </c>
      <c r="E60" s="99">
        <f t="shared" si="7"/>
        <v>1292015</v>
      </c>
      <c r="F60" s="99">
        <f t="shared" si="7"/>
        <v>1561062</v>
      </c>
      <c r="G60" s="99">
        <f t="shared" si="7"/>
        <v>1919603</v>
      </c>
      <c r="H60" s="99">
        <f t="shared" si="7"/>
        <v>2374057</v>
      </c>
      <c r="I60" s="99"/>
      <c r="J60" s="99"/>
      <c r="K60" s="99"/>
      <c r="L60" s="99"/>
      <c r="M60" s="55"/>
    </row>
    <row r="61" spans="1:14" ht="15.75">
      <c r="A61" s="53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59"/>
      <c r="N61" s="45"/>
    </row>
    <row r="62" spans="1:14" ht="16.5" thickBot="1">
      <c r="A62" s="61" t="s">
        <v>5</v>
      </c>
      <c r="B62" s="3">
        <v>473869</v>
      </c>
      <c r="C62" s="3">
        <v>1076928</v>
      </c>
      <c r="D62" s="3">
        <v>1796866</v>
      </c>
      <c r="E62" s="3">
        <v>2353783</v>
      </c>
      <c r="F62" s="3">
        <v>2866661</v>
      </c>
      <c r="G62" s="3">
        <v>3467377</v>
      </c>
      <c r="H62" s="3">
        <v>4162749</v>
      </c>
      <c r="I62" s="3">
        <v>0</v>
      </c>
      <c r="J62" s="3">
        <v>0</v>
      </c>
      <c r="K62" s="3">
        <v>0</v>
      </c>
      <c r="L62" s="3">
        <v>0</v>
      </c>
      <c r="M62" s="4">
        <v>0</v>
      </c>
    </row>
    <row r="63" spans="1:14">
      <c r="B63" s="54"/>
      <c r="C63" s="54"/>
    </row>
    <row r="64" spans="1:14" ht="15.75">
      <c r="A64" s="45"/>
      <c r="B64" s="6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15.7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ht="15.75">
      <c r="A66" s="45"/>
      <c r="B66" s="45"/>
      <c r="C66" s="44"/>
      <c r="D66" s="44"/>
      <c r="E66" s="45"/>
      <c r="F66" s="45"/>
      <c r="G66" s="45"/>
      <c r="H66" s="45"/>
      <c r="I66" s="45"/>
      <c r="J66" s="45"/>
      <c r="K66" s="45"/>
      <c r="L66" s="45"/>
      <c r="M66" s="45"/>
    </row>
    <row r="67" spans="1:13" ht="15.75">
      <c r="A67" s="45"/>
      <c r="B67" s="45"/>
      <c r="C67" s="44"/>
      <c r="D67" s="44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>
      <c r="A68" s="45"/>
      <c r="B68" s="45"/>
      <c r="C68" s="44"/>
      <c r="D68" s="44"/>
      <c r="E68" s="45"/>
      <c r="F68" s="45"/>
      <c r="G68" s="45"/>
      <c r="H68" s="45"/>
      <c r="I68" s="45"/>
      <c r="J68" s="45"/>
      <c r="K68" s="45"/>
      <c r="L68" s="45"/>
      <c r="M68" s="45"/>
    </row>
    <row r="69" spans="1:13" ht="15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ht="15.7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8" spans="1:13" ht="15.75">
      <c r="A78" s="44"/>
      <c r="B78" s="65"/>
      <c r="C78" s="65"/>
      <c r="D78" s="65"/>
      <c r="E78" s="65"/>
      <c r="F78" s="65"/>
      <c r="G78" s="65"/>
      <c r="H78" s="65"/>
    </row>
    <row r="79" spans="1:13" ht="15.75">
      <c r="A79" s="44"/>
      <c r="B79" s="65"/>
      <c r="C79" s="65"/>
      <c r="D79" s="65"/>
      <c r="E79" s="65"/>
      <c r="F79" s="65"/>
      <c r="G79" s="65"/>
      <c r="H79" s="65"/>
    </row>
    <row r="80" spans="1:13" ht="15.75">
      <c r="A80" s="44"/>
      <c r="B80" s="65"/>
      <c r="C80" s="65"/>
      <c r="D80" s="65"/>
      <c r="E80" s="65"/>
      <c r="F80" s="65"/>
      <c r="G80" s="65"/>
      <c r="H80" s="65"/>
    </row>
    <row r="81" spans="1:8" ht="15.75">
      <c r="A81" s="44"/>
      <c r="B81" s="65"/>
      <c r="C81" s="65"/>
      <c r="D81" s="65"/>
      <c r="E81" s="65"/>
      <c r="F81" s="65"/>
      <c r="G81" s="65"/>
      <c r="H81" s="65"/>
    </row>
    <row r="82" spans="1:8" ht="15.75">
      <c r="A82" s="44"/>
      <c r="B82" s="65"/>
      <c r="C82" s="65"/>
      <c r="D82" s="65"/>
      <c r="E82" s="65"/>
      <c r="F82" s="65"/>
      <c r="G82" s="65"/>
      <c r="H82" s="65"/>
    </row>
    <row r="83" spans="1:8" ht="15.75">
      <c r="A83" s="44"/>
      <c r="B83" s="65"/>
      <c r="C83" s="65"/>
      <c r="D83" s="65"/>
      <c r="E83" s="65"/>
      <c r="F83" s="65"/>
      <c r="G83" s="65"/>
      <c r="H83" s="65"/>
    </row>
    <row r="84" spans="1:8" ht="15.75">
      <c r="A84" s="44"/>
      <c r="B84" s="65"/>
      <c r="C84" s="65"/>
      <c r="D84" s="65"/>
      <c r="E84" s="65"/>
      <c r="F84" s="65"/>
      <c r="G84" s="65"/>
      <c r="H84" s="65"/>
    </row>
    <row r="85" spans="1:8" ht="15.75">
      <c r="A85" s="44"/>
      <c r="B85" s="65"/>
      <c r="C85" s="65"/>
      <c r="D85" s="65"/>
      <c r="E85" s="65"/>
      <c r="F85" s="65"/>
      <c r="G85" s="65"/>
      <c r="H85" s="65"/>
    </row>
    <row r="86" spans="1:8" ht="15.75">
      <c r="A86" s="44"/>
      <c r="B86" s="65"/>
      <c r="C86" s="65"/>
      <c r="D86" s="65"/>
      <c r="E86" s="65"/>
      <c r="F86" s="65"/>
      <c r="G86" s="65"/>
      <c r="H86" s="65"/>
    </row>
    <row r="87" spans="1:8" ht="15.75">
      <c r="A87" s="44"/>
      <c r="B87" s="65"/>
      <c r="C87" s="65"/>
      <c r="D87" s="65"/>
      <c r="E87" s="65"/>
      <c r="F87" s="65"/>
      <c r="G87" s="65"/>
      <c r="H87" s="65"/>
    </row>
    <row r="88" spans="1:8" ht="0.95" customHeight="1">
      <c r="A88" s="44"/>
      <c r="B88" s="65"/>
      <c r="C88" s="65"/>
      <c r="D88" s="65"/>
      <c r="E88" s="65"/>
      <c r="F88" s="65"/>
      <c r="G88" s="65"/>
      <c r="H88" s="65"/>
    </row>
    <row r="89" spans="1:8" ht="15.75">
      <c r="A89" s="44"/>
      <c r="B89" s="65"/>
      <c r="C89" s="65"/>
      <c r="D89" s="65"/>
      <c r="E89" s="65"/>
      <c r="F89" s="65"/>
      <c r="G89" s="65"/>
      <c r="H89" s="65"/>
    </row>
    <row r="90" spans="1:8" ht="15.75">
      <c r="A90" s="44"/>
      <c r="B90" s="65"/>
      <c r="C90" s="65"/>
      <c r="D90" s="65"/>
      <c r="E90" s="65"/>
      <c r="F90" s="65"/>
      <c r="G90" s="65"/>
      <c r="H90" s="65"/>
    </row>
    <row r="114" spans="1:8" ht="15.75">
      <c r="A114" s="44"/>
      <c r="B114" s="44"/>
      <c r="C114" s="45"/>
      <c r="D114" s="45"/>
      <c r="E114" s="45"/>
    </row>
    <row r="116" spans="1:8" ht="15.75">
      <c r="A116" s="44"/>
      <c r="B116" s="44"/>
      <c r="C116" s="44"/>
      <c r="D116" s="44"/>
      <c r="E116" s="44"/>
      <c r="F116" s="44"/>
      <c r="G116" s="45"/>
      <c r="H116" s="45"/>
    </row>
    <row r="118" spans="1:8" ht="15.75">
      <c r="A118" s="44"/>
      <c r="B118" s="44"/>
      <c r="C118" s="44"/>
      <c r="D118" s="45"/>
    </row>
    <row r="119" spans="1:8" ht="15.75">
      <c r="A119" s="44"/>
      <c r="B119" s="44"/>
      <c r="C119" s="44"/>
      <c r="D119" s="45"/>
    </row>
    <row r="120" spans="1:8" ht="15.75">
      <c r="A120" s="44"/>
      <c r="B120" s="44"/>
      <c r="C120" s="44"/>
      <c r="D120" s="45"/>
    </row>
    <row r="123" spans="1:8" ht="15.75">
      <c r="A123" s="44"/>
      <c r="C123" s="45" t="s">
        <v>9</v>
      </c>
      <c r="D123" s="45"/>
      <c r="E123" s="45"/>
      <c r="F123" s="66">
        <v>4915302</v>
      </c>
    </row>
  </sheetData>
  <phoneticPr fontId="13" type="noConversion"/>
  <printOptions horizontalCentered="1" verticalCentered="1"/>
  <pageMargins left="0.25" right="0.25" top="0.5" bottom="0.5" header="0.5" footer="0.5"/>
  <pageSetup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1"/>
  <sheetViews>
    <sheetView defaultGridColor="0" topLeftCell="H46" colorId="22" zoomScale="87" workbookViewId="0">
      <selection activeCell="M62" sqref="A1:M62"/>
    </sheetView>
  </sheetViews>
  <sheetFormatPr defaultColWidth="12.5703125" defaultRowHeight="15"/>
  <cols>
    <col min="1" max="1" width="26.5703125" style="7" customWidth="1"/>
    <col min="2" max="2" width="17" style="7" bestFit="1" customWidth="1"/>
    <col min="3" max="3" width="14.5703125" style="7" bestFit="1" customWidth="1"/>
    <col min="4" max="5" width="15.85546875" style="7" customWidth="1"/>
    <col min="6" max="6" width="15.5703125" style="7" customWidth="1"/>
    <col min="7" max="13" width="15.85546875" style="7" customWidth="1"/>
    <col min="14" max="16384" width="12.5703125" style="7"/>
  </cols>
  <sheetData>
    <row r="1" spans="1:36" ht="20.25">
      <c r="A1" s="37" t="s">
        <v>34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spans="1:36" ht="18.75">
      <c r="A2" s="8" t="s">
        <v>26</v>
      </c>
      <c r="B2" s="9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4" spans="1:36">
      <c r="G4" s="111"/>
      <c r="H4" s="111"/>
      <c r="I4" s="111"/>
      <c r="J4" s="111"/>
      <c r="K4" s="111"/>
      <c r="L4" s="111"/>
    </row>
    <row r="5" spans="1:36" ht="18.75" thickBot="1">
      <c r="A5" s="10" t="s">
        <v>22</v>
      </c>
      <c r="B5" s="11"/>
      <c r="C5" s="11"/>
      <c r="D5" s="12"/>
      <c r="E5" s="12"/>
      <c r="F5" s="12"/>
      <c r="G5" s="12"/>
      <c r="H5" s="12"/>
      <c r="I5" s="13"/>
      <c r="J5" s="13"/>
      <c r="K5" s="13"/>
      <c r="L5" s="13"/>
      <c r="M5" s="13"/>
    </row>
    <row r="6" spans="1:36" ht="15.75">
      <c r="A6" s="14"/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6" t="s">
        <v>21</v>
      </c>
      <c r="N6" s="17"/>
      <c r="O6" s="17"/>
    </row>
    <row r="7" spans="1:36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36" ht="15.75">
      <c r="A8" s="83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36" ht="15.75">
      <c r="A9" s="21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36" ht="15.75">
      <c r="A10" s="21" t="s">
        <v>2</v>
      </c>
      <c r="B10" s="24">
        <f>+B20</f>
        <v>18300</v>
      </c>
      <c r="C10" s="24">
        <f>+'Special 04-05 (template)'!C31*'Special 05-06 (Original)'!$M$10</f>
        <v>6472871.4797286158</v>
      </c>
      <c r="D10" s="24">
        <f>+'Special 04-05 (template)'!D31*'Special 05-06 (Original)'!$M$10</f>
        <v>25604649.588869106</v>
      </c>
      <c r="E10" s="24">
        <f>+'Special 04-05 (template)'!E31*'Special 05-06 (Original)'!$M$10</f>
        <v>26929403.241496619</v>
      </c>
      <c r="F10" s="24">
        <f>+'Special 04-05 (template)'!F31*'Special 05-06 (Original)'!$M$10</f>
        <v>27760457.184580807</v>
      </c>
      <c r="G10" s="24">
        <f>+'Special 04-05 (template)'!G31*'Special 05-06 (Original)'!$M$10</f>
        <v>28294669.861597452</v>
      </c>
      <c r="H10" s="24">
        <f>+'Special 04-05 (template)'!H31*'Special 05-06 (Original)'!$M$10</f>
        <v>29428953.739386164</v>
      </c>
      <c r="I10" s="24">
        <f>+'Special 04-05 (template)'!I31*'Special 05-06 (Original)'!$M$10</f>
        <v>30414497.497901615</v>
      </c>
      <c r="J10" s="24">
        <f>+'Special 04-05 (template)'!J31*'Special 05-06 (Original)'!$M$10</f>
        <v>30877175.88570489</v>
      </c>
      <c r="K10" s="24">
        <f>+'Special 04-05 (template)'!K31*'Special 05-06 (Original)'!$M$10</f>
        <v>31719016.317926049</v>
      </c>
      <c r="L10" s="24">
        <f>+'Special 04-05 (template)'!L31*'Special 05-06 (Original)'!$M$10</f>
        <v>32059827.339770574</v>
      </c>
      <c r="M10" s="25">
        <v>32558548</v>
      </c>
    </row>
    <row r="11" spans="1:36" ht="15.75">
      <c r="A11" s="21" t="s">
        <v>27</v>
      </c>
      <c r="B11" s="26">
        <f>+'Special 04-05 (template)'!B33*'Special 05-06 (Original)'!$M$11</f>
        <v>0</v>
      </c>
      <c r="C11" s="26">
        <f>+'Special 04-05 (template)'!C33*'Special 05-06 (Original)'!$M$11</f>
        <v>0</v>
      </c>
      <c r="D11" s="26">
        <f>+'Special 04-05 (template)'!D33*'Special 05-06 (Original)'!$M$11</f>
        <v>30910.715964631534</v>
      </c>
      <c r="E11" s="26">
        <f>+'Special 04-05 (template)'!E33*'Special 05-06 (Original)'!$M$11</f>
        <v>417120.32908448525</v>
      </c>
      <c r="F11" s="26">
        <f>+'Special 04-05 (template)'!F33*'Special 05-06 (Original)'!$M$11</f>
        <v>803329.94220433896</v>
      </c>
      <c r="G11" s="26">
        <f>+'Special 04-05 (template)'!G33*'Special 05-06 (Original)'!$M$11</f>
        <v>1241463.3760015806</v>
      </c>
      <c r="H11" s="26">
        <f>+'Special 04-05 (template)'!H33*'Special 05-06 (Original)'!$M$11</f>
        <v>1637292.4039296277</v>
      </c>
      <c r="I11" s="26">
        <f>+'Special 04-05 (template)'!I33*'Special 05-06 (Original)'!$M$11</f>
        <v>2017557.2681551634</v>
      </c>
      <c r="J11" s="26">
        <f>+'Special 04-05 (template)'!J33*'Special 05-06 (Original)'!$M$11</f>
        <v>4914120.0933392765</v>
      </c>
      <c r="K11" s="26">
        <f>+'Special 04-05 (template)'!K33*'Special 05-06 (Original)'!$M$11</f>
        <v>4145078.7901401846</v>
      </c>
      <c r="L11" s="26">
        <f>+'Special 04-05 (template)'!L33*'Special 05-06 (Original)'!$M$11</f>
        <v>4663245.0132844113</v>
      </c>
      <c r="M11" s="25">
        <v>5181410</v>
      </c>
    </row>
    <row r="12" spans="1:36" ht="15.75">
      <c r="A12" s="21" t="s">
        <v>4</v>
      </c>
      <c r="B12" s="26">
        <f>+'Special 04-05 (template)'!B35*'Special 05-06 (Original)'!$M$12</f>
        <v>0</v>
      </c>
      <c r="C12" s="26">
        <f>+'Special 04-05 (template)'!C35*'Special 05-06 (Original)'!$M$12</f>
        <v>0</v>
      </c>
      <c r="D12" s="26">
        <f>+'Special 04-05 (template)'!D35*'Special 05-06 (Original)'!$M$12</f>
        <v>27598.52981422286</v>
      </c>
      <c r="E12" s="26">
        <f>+'Special 04-05 (template)'!E35*'Special 05-06 (Original)'!$M$12</f>
        <v>105305.72841780339</v>
      </c>
      <c r="F12" s="26">
        <f>+'Special 04-05 (template)'!F35*'Special 05-06 (Original)'!$M$12</f>
        <v>6544701.587056824</v>
      </c>
      <c r="G12" s="26">
        <f>+'Special 04-05 (template)'!G35*'Special 05-06 (Original)'!$M$12</f>
        <v>6544701.587056824</v>
      </c>
      <c r="H12" s="26">
        <f>+'Special 04-05 (template)'!H35*'Special 05-06 (Original)'!$M$12</f>
        <v>6886960.8098871829</v>
      </c>
      <c r="I12" s="26">
        <f>+'Special 04-05 (template)'!I35*'Special 05-06 (Original)'!$M$12</f>
        <v>6893726.5373186581</v>
      </c>
      <c r="J12" s="26">
        <f>+'Special 04-05 (template)'!J35*'Special 05-06 (Original)'!$M$12</f>
        <v>7134628.7196755949</v>
      </c>
      <c r="K12" s="26">
        <f>+'Special 04-05 (template)'!K35*'Special 05-06 (Original)'!$M$12</f>
        <v>9699818.0303507503</v>
      </c>
      <c r="L12" s="26">
        <f>+'Special 04-05 (template)'!L35*'Special 05-06 (Original)'!$M$12</f>
        <v>9699816.016741395</v>
      </c>
      <c r="M12" s="25">
        <v>10146350</v>
      </c>
    </row>
    <row r="13" spans="1:36" ht="15.75">
      <c r="A13" s="21" t="s">
        <v>25</v>
      </c>
      <c r="B13" s="26">
        <f>+'Special 04-05 (template)'!B37*'Special 05-06 (Original)'!$M$13</f>
        <v>0</v>
      </c>
      <c r="C13" s="26">
        <f>+'Special 04-05 (template)'!C37*'Special 05-06 (Original)'!$M$13</f>
        <v>0</v>
      </c>
      <c r="D13" s="26">
        <f>+'Special 04-05 (template)'!D37*'Special 05-06 (Original)'!$M$13</f>
        <v>24.4128422680486</v>
      </c>
      <c r="E13" s="26">
        <f>+'Special 04-05 (template)'!E37*'Special 05-06 (Original)'!$M$13</f>
        <v>3875.4459412520964</v>
      </c>
      <c r="F13" s="26">
        <f>+'Special 04-05 (template)'!F37*'Special 05-06 (Original)'!$M$13</f>
        <v>3998.9553928546079</v>
      </c>
      <c r="G13" s="26">
        <f>+'Special 04-05 (template)'!G37*'Special 05-06 (Original)'!$M$13</f>
        <v>3998.9553928546079</v>
      </c>
      <c r="H13" s="26">
        <f>+'Special 04-05 (template)'!H37*'Special 05-06 (Original)'!$M$13</f>
        <v>19141.396767382677</v>
      </c>
      <c r="I13" s="26">
        <f>+'Special 04-05 (template)'!I37*'Special 05-06 (Original)'!$M$13</f>
        <v>19025.95331886553</v>
      </c>
      <c r="J13" s="26">
        <f>+'Special 04-05 (template)'!J37*'Special 05-06 (Original)'!$M$13</f>
        <v>19048.344777793784</v>
      </c>
      <c r="K13" s="26">
        <f>+'Special 04-05 (template)'!K37*'Special 05-06 (Original)'!$M$13</f>
        <v>31221.027363803638</v>
      </c>
      <c r="L13" s="26">
        <f>+'Special 04-05 (template)'!L37*'Special 05-06 (Original)'!$M$13</f>
        <v>31246.841503217875</v>
      </c>
      <c r="M13" s="25">
        <v>46500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</row>
    <row r="15" spans="1:36" ht="15.75">
      <c r="A15" s="21" t="s">
        <v>5</v>
      </c>
      <c r="B15" s="1">
        <f t="shared" ref="B15:M15" si="0">SUM(B10:B14)</f>
        <v>18300</v>
      </c>
      <c r="C15" s="1">
        <f t="shared" si="0"/>
        <v>6472871.4797286158</v>
      </c>
      <c r="D15" s="1">
        <f t="shared" si="0"/>
        <v>25663183.247490227</v>
      </c>
      <c r="E15" s="1">
        <f t="shared" si="0"/>
        <v>27455704.744940158</v>
      </c>
      <c r="F15" s="1">
        <f t="shared" si="0"/>
        <v>35112487.66923482</v>
      </c>
      <c r="G15" s="1">
        <f t="shared" si="0"/>
        <v>36084833.780048713</v>
      </c>
      <c r="H15" s="1">
        <f t="shared" si="0"/>
        <v>37972348.349970363</v>
      </c>
      <c r="I15" s="1">
        <f t="shared" si="0"/>
        <v>39344807.256694302</v>
      </c>
      <c r="J15" s="1">
        <f t="shared" si="0"/>
        <v>42944973.043497555</v>
      </c>
      <c r="K15" s="1">
        <f t="shared" si="0"/>
        <v>45595134.16578079</v>
      </c>
      <c r="L15" s="1">
        <f t="shared" si="0"/>
        <v>46454135.211299598</v>
      </c>
      <c r="M15" s="2">
        <f t="shared" si="0"/>
        <v>47932808</v>
      </c>
    </row>
    <row r="16" spans="1:36" ht="15.75">
      <c r="A16" s="2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2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36</v>
      </c>
      <c r="B18" s="1"/>
      <c r="C18" s="1"/>
      <c r="D18" s="1"/>
      <c r="E18" s="101"/>
      <c r="F18" s="101"/>
      <c r="G18" s="102"/>
      <c r="H18" s="102"/>
      <c r="I18" s="102"/>
      <c r="J18" s="102"/>
      <c r="K18" s="102"/>
      <c r="L18" s="102"/>
      <c r="M18" s="104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24">
        <f t="shared" ref="B20:G23" si="1">+B30</f>
        <v>18300</v>
      </c>
      <c r="C20" s="24">
        <f t="shared" si="1"/>
        <v>7062224</v>
      </c>
      <c r="D20" s="24">
        <f t="shared" si="1"/>
        <v>25544754</v>
      </c>
      <c r="E20" s="24">
        <f t="shared" si="1"/>
        <v>27366425</v>
      </c>
      <c r="F20" s="24">
        <f t="shared" si="1"/>
        <v>27722462</v>
      </c>
      <c r="G20" s="24">
        <f t="shared" si="1"/>
        <v>28000351</v>
      </c>
      <c r="H20" s="24">
        <f>+M20*0.9</f>
        <v>29149960.5</v>
      </c>
      <c r="I20" s="29">
        <f>+M20*0.93</f>
        <v>30121625.850000001</v>
      </c>
      <c r="J20" s="29">
        <f>+M20*0.95</f>
        <v>30769402.75</v>
      </c>
      <c r="K20" s="29">
        <f>+M20*0.97</f>
        <v>31417179.649999999</v>
      </c>
      <c r="L20" s="24">
        <f>+M20*0.98</f>
        <v>31741068.099999998</v>
      </c>
      <c r="M20" s="25">
        <v>32388845</v>
      </c>
    </row>
    <row r="21" spans="1:16" ht="15.75">
      <c r="A21" s="84" t="s">
        <v>3</v>
      </c>
      <c r="B21" s="26">
        <f t="shared" si="1"/>
        <v>0</v>
      </c>
      <c r="C21" s="26">
        <f t="shared" si="1"/>
        <v>0</v>
      </c>
      <c r="D21" s="26">
        <f t="shared" si="1"/>
        <v>0</v>
      </c>
      <c r="E21" s="26">
        <f t="shared" si="1"/>
        <v>439292</v>
      </c>
      <c r="F21" s="26">
        <f t="shared" si="1"/>
        <v>870583</v>
      </c>
      <c r="G21" s="26">
        <f t="shared" si="1"/>
        <v>1303309</v>
      </c>
      <c r="H21" s="26">
        <f>+G21+658604</f>
        <v>1961913</v>
      </c>
      <c r="I21" s="26">
        <f>+H21+658604</f>
        <v>2620517</v>
      </c>
      <c r="J21" s="26">
        <f>+I21+658604</f>
        <v>3279121</v>
      </c>
      <c r="K21" s="26">
        <f>+J21+658604</f>
        <v>3937725</v>
      </c>
      <c r="L21" s="26">
        <f>+K21+658604</f>
        <v>4596329</v>
      </c>
      <c r="M21" s="25">
        <v>6572141</v>
      </c>
    </row>
    <row r="22" spans="1:16" ht="15.75">
      <c r="A22" s="84" t="s">
        <v>4</v>
      </c>
      <c r="B22" s="26">
        <f t="shared" si="1"/>
        <v>0</v>
      </c>
      <c r="C22" s="26">
        <f t="shared" si="1"/>
        <v>0</v>
      </c>
      <c r="D22" s="26">
        <f t="shared" si="1"/>
        <v>0</v>
      </c>
      <c r="E22" s="26">
        <f t="shared" si="1"/>
        <v>30649</v>
      </c>
      <c r="F22" s="26">
        <f t="shared" si="1"/>
        <v>1994650</v>
      </c>
      <c r="G22" s="26">
        <f t="shared" si="1"/>
        <v>2185527</v>
      </c>
      <c r="H22" s="26">
        <f>+G22+69117</f>
        <v>2254644</v>
      </c>
      <c r="I22" s="31">
        <v>3423567</v>
      </c>
      <c r="J22" s="31">
        <v>4543204</v>
      </c>
      <c r="K22" s="31">
        <v>5204886</v>
      </c>
      <c r="L22" s="24">
        <f>+K22+182425</f>
        <v>5387311</v>
      </c>
      <c r="M22" s="25">
        <v>9869409</v>
      </c>
    </row>
    <row r="23" spans="1:16" ht="15.75">
      <c r="A23" s="84" t="s">
        <v>25</v>
      </c>
      <c r="B23" s="26">
        <f t="shared" si="1"/>
        <v>0</v>
      </c>
      <c r="C23" s="26">
        <f t="shared" si="1"/>
        <v>0</v>
      </c>
      <c r="D23" s="26">
        <f t="shared" si="1"/>
        <v>0</v>
      </c>
      <c r="E23" s="26">
        <f t="shared" si="1"/>
        <v>6517</v>
      </c>
      <c r="F23" s="26">
        <f t="shared" si="1"/>
        <v>11317</v>
      </c>
      <c r="G23" s="26">
        <f t="shared" si="1"/>
        <v>11317</v>
      </c>
      <c r="H23" s="26">
        <f>+G23+5864</f>
        <v>17181</v>
      </c>
      <c r="I23" s="26">
        <f>+H23+5864</f>
        <v>23045</v>
      </c>
      <c r="J23" s="26">
        <f>+I23+5864</f>
        <v>28909</v>
      </c>
      <c r="K23" s="26">
        <f>+J23+5864</f>
        <v>34773</v>
      </c>
      <c r="L23" s="26">
        <f>+K23+5864</f>
        <v>40637</v>
      </c>
      <c r="M23" s="25">
        <f>41500+5000</f>
        <v>46500</v>
      </c>
    </row>
    <row r="24" spans="1:16">
      <c r="A24" s="8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</row>
    <row r="25" spans="1:16" ht="15.75">
      <c r="A25" s="84" t="s">
        <v>5</v>
      </c>
      <c r="B25" s="1">
        <f t="shared" ref="B25:G25" si="2">SUM(B20:B24)</f>
        <v>18300</v>
      </c>
      <c r="C25" s="1">
        <f t="shared" si="2"/>
        <v>7062224</v>
      </c>
      <c r="D25" s="1">
        <f t="shared" si="2"/>
        <v>25544754</v>
      </c>
      <c r="E25" s="1">
        <f t="shared" si="2"/>
        <v>27842883</v>
      </c>
      <c r="F25" s="1">
        <f t="shared" si="2"/>
        <v>30599012</v>
      </c>
      <c r="G25" s="1">
        <f t="shared" si="2"/>
        <v>31500504</v>
      </c>
      <c r="H25" s="1">
        <f t="shared" ref="H25:M25" si="3">SUM(H20:H24)</f>
        <v>33383698.5</v>
      </c>
      <c r="I25" s="1">
        <f t="shared" si="3"/>
        <v>36188754.850000001</v>
      </c>
      <c r="J25" s="1">
        <f t="shared" si="3"/>
        <v>38620636.75</v>
      </c>
      <c r="K25" s="1">
        <f t="shared" si="3"/>
        <v>40594563.649999999</v>
      </c>
      <c r="L25" s="1">
        <f t="shared" si="3"/>
        <v>41765345.099999994</v>
      </c>
      <c r="M25" s="2">
        <f t="shared" si="3"/>
        <v>48876895</v>
      </c>
    </row>
    <row r="26" spans="1:16" ht="15.75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2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35</v>
      </c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6" ht="15.75">
      <c r="A29" s="21" t="s">
        <v>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/>
    </row>
    <row r="30" spans="1:16" ht="15.75">
      <c r="A30" s="21" t="s">
        <v>2</v>
      </c>
      <c r="B30" s="24">
        <v>18300</v>
      </c>
      <c r="C30" s="24">
        <v>7062224</v>
      </c>
      <c r="D30" s="24">
        <v>25544754</v>
      </c>
      <c r="E30" s="29">
        <v>27366425</v>
      </c>
      <c r="F30" s="24">
        <v>27722462</v>
      </c>
      <c r="G30" s="24">
        <v>28000351</v>
      </c>
      <c r="H30" s="24">
        <v>28884969</v>
      </c>
      <c r="I30" s="29"/>
      <c r="J30" s="29"/>
      <c r="K30" s="29"/>
      <c r="L30" s="29"/>
      <c r="M30" s="30"/>
      <c r="N30" s="13"/>
      <c r="O30" s="13"/>
      <c r="P30" s="13"/>
    </row>
    <row r="31" spans="1:16" ht="15.75">
      <c r="A31" s="21" t="s">
        <v>3</v>
      </c>
      <c r="B31" s="26">
        <v>0</v>
      </c>
      <c r="C31" s="26">
        <v>0</v>
      </c>
      <c r="D31" s="26">
        <v>0</v>
      </c>
      <c r="E31" s="31">
        <v>439292</v>
      </c>
      <c r="F31" s="26">
        <v>870583</v>
      </c>
      <c r="G31" s="26">
        <v>1303309</v>
      </c>
      <c r="H31" s="26">
        <v>1761914</v>
      </c>
      <c r="I31" s="31"/>
      <c r="J31" s="31"/>
      <c r="K31" s="31"/>
      <c r="L31" s="31"/>
      <c r="M31" s="25"/>
    </row>
    <row r="32" spans="1:16" ht="15.75">
      <c r="A32" s="21" t="s">
        <v>4</v>
      </c>
      <c r="B32" s="26">
        <v>0</v>
      </c>
      <c r="C32" s="26">
        <v>0</v>
      </c>
      <c r="D32" s="26">
        <v>0</v>
      </c>
      <c r="E32" s="31">
        <v>30649</v>
      </c>
      <c r="F32" s="26">
        <v>1994650</v>
      </c>
      <c r="G32" s="26">
        <v>2185527</v>
      </c>
      <c r="H32" s="26">
        <v>2272272</v>
      </c>
      <c r="I32" s="31"/>
      <c r="J32" s="31"/>
      <c r="K32" s="31"/>
      <c r="L32" s="31"/>
      <c r="M32" s="25"/>
    </row>
    <row r="33" spans="1:13" ht="15.75">
      <c r="A33" s="21" t="s">
        <v>25</v>
      </c>
      <c r="B33" s="26">
        <v>0</v>
      </c>
      <c r="C33" s="31">
        <v>0</v>
      </c>
      <c r="D33" s="31">
        <v>0</v>
      </c>
      <c r="E33" s="31">
        <v>6517</v>
      </c>
      <c r="F33" s="26">
        <v>11317</v>
      </c>
      <c r="G33" s="26">
        <v>11317</v>
      </c>
      <c r="H33" s="26">
        <v>12209</v>
      </c>
      <c r="I33" s="31"/>
      <c r="J33" s="31"/>
      <c r="K33" s="31"/>
      <c r="L33" s="31"/>
      <c r="M33" s="25"/>
    </row>
    <row r="34" spans="1:13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5"/>
    </row>
    <row r="35" spans="1:13" ht="16.5" thickBot="1">
      <c r="A35" s="32" t="s">
        <v>5</v>
      </c>
      <c r="B35" s="3">
        <f t="shared" ref="B35:L35" si="4">SUM(B30:B34)</f>
        <v>18300</v>
      </c>
      <c r="C35" s="3">
        <f t="shared" si="4"/>
        <v>7062224</v>
      </c>
      <c r="D35" s="3">
        <f t="shared" si="4"/>
        <v>25544754</v>
      </c>
      <c r="E35" s="3">
        <f t="shared" si="4"/>
        <v>27842883</v>
      </c>
      <c r="F35" s="3">
        <f t="shared" si="4"/>
        <v>30599012</v>
      </c>
      <c r="G35" s="3">
        <f t="shared" si="4"/>
        <v>31500504</v>
      </c>
      <c r="H35" s="3">
        <f t="shared" si="4"/>
        <v>32931364</v>
      </c>
      <c r="I35" s="3">
        <f t="shared" si="4"/>
        <v>0</v>
      </c>
      <c r="J35" s="3">
        <f t="shared" si="4"/>
        <v>0</v>
      </c>
      <c r="K35" s="3">
        <f t="shared" si="4"/>
        <v>0</v>
      </c>
      <c r="L35" s="3">
        <f t="shared" si="4"/>
        <v>0</v>
      </c>
      <c r="M35" s="4">
        <f>+M30+M31+M32+M33</f>
        <v>0</v>
      </c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28"/>
      <c r="B37" s="19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18.75" thickBot="1">
      <c r="A38" s="33" t="s">
        <v>23</v>
      </c>
      <c r="B38" s="28"/>
      <c r="C38" s="28"/>
      <c r="D38" s="28"/>
      <c r="E38" s="28"/>
      <c r="F38" s="28"/>
      <c r="G38" s="28"/>
      <c r="H38" s="28"/>
      <c r="I38" s="28"/>
      <c r="J38" s="19"/>
      <c r="K38" s="22"/>
      <c r="L38" s="22"/>
      <c r="M38" s="22"/>
    </row>
    <row r="39" spans="1:13" ht="15.75">
      <c r="A39" s="34"/>
      <c r="B39" s="15" t="s">
        <v>10</v>
      </c>
      <c r="C39" s="15" t="s">
        <v>11</v>
      </c>
      <c r="D39" s="15" t="s">
        <v>12</v>
      </c>
      <c r="E39" s="15" t="s">
        <v>13</v>
      </c>
      <c r="F39" s="15" t="s">
        <v>14</v>
      </c>
      <c r="G39" s="15" t="s">
        <v>15</v>
      </c>
      <c r="H39" s="15" t="s">
        <v>16</v>
      </c>
      <c r="I39" s="15" t="s">
        <v>17</v>
      </c>
      <c r="J39" s="15" t="s">
        <v>18</v>
      </c>
      <c r="K39" s="15" t="s">
        <v>19</v>
      </c>
      <c r="L39" s="15" t="s">
        <v>20</v>
      </c>
      <c r="M39" s="16" t="s">
        <v>21</v>
      </c>
    </row>
    <row r="40" spans="1:13">
      <c r="A40" s="2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5"/>
    </row>
    <row r="41" spans="1:13" ht="15.75">
      <c r="A41" s="83" t="s">
        <v>33</v>
      </c>
      <c r="B41" s="24"/>
      <c r="C41" s="24"/>
      <c r="D41" s="26"/>
      <c r="E41" s="26"/>
      <c r="F41" s="26"/>
      <c r="G41" s="106"/>
      <c r="H41" s="106"/>
      <c r="I41" s="106"/>
      <c r="J41" s="106"/>
      <c r="K41" s="106"/>
      <c r="L41" s="106"/>
      <c r="M41" s="25"/>
    </row>
    <row r="42" spans="1:13" ht="15.75">
      <c r="A42" s="21" t="s">
        <v>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5"/>
    </row>
    <row r="43" spans="1:13" ht="15.75">
      <c r="A43" s="21" t="s">
        <v>7</v>
      </c>
      <c r="B43" s="26">
        <v>185668</v>
      </c>
      <c r="C43" s="26">
        <v>501101</v>
      </c>
      <c r="D43" s="26">
        <v>1447402</v>
      </c>
      <c r="E43" s="26">
        <v>2078269</v>
      </c>
      <c r="F43" s="26">
        <v>2709137</v>
      </c>
      <c r="G43" s="26">
        <v>3340004</v>
      </c>
      <c r="H43" s="26">
        <v>3970871</v>
      </c>
      <c r="I43" s="26">
        <v>4601738</v>
      </c>
      <c r="J43" s="26">
        <v>5548039</v>
      </c>
      <c r="K43" s="26">
        <v>6178906</v>
      </c>
      <c r="L43" s="26">
        <v>6809773</v>
      </c>
      <c r="M43" s="25">
        <v>7885840</v>
      </c>
    </row>
    <row r="44" spans="1:13" ht="15.75">
      <c r="A44" s="21" t="s">
        <v>8</v>
      </c>
      <c r="B44" s="26">
        <f>+B52</f>
        <v>177645</v>
      </c>
      <c r="C44" s="26">
        <f>+'Special 05-06 (Original)'!C34</f>
        <v>630814.18209019816</v>
      </c>
      <c r="D44" s="26">
        <f>+'Special 05-06 (Original)'!D34</f>
        <v>1298078.8066075866</v>
      </c>
      <c r="E44" s="26">
        <f>+'Special 05-06 (Original)'!E34</f>
        <v>15273188.327747665</v>
      </c>
      <c r="F44" s="26">
        <f>+'Special 05-06 (Original)'!F34</f>
        <v>16054834.011837514</v>
      </c>
      <c r="G44" s="26">
        <f>+'Special 05-06 (Original)'!G34</f>
        <v>18894452.655832395</v>
      </c>
      <c r="H44" s="26">
        <f>+'Special 05-06 (Original)'!H34</f>
        <v>20417454.845924694</v>
      </c>
      <c r="I44" s="26">
        <f>+'Special 05-06 (Original)'!I34</f>
        <v>21783261.883741062</v>
      </c>
      <c r="J44" s="26">
        <f>+'Special 05-06 (Original)'!J34</f>
        <v>23229246.702156805</v>
      </c>
      <c r="K44" s="26">
        <f>+'Special 05-06 (Original)'!K34</f>
        <v>38393153.712098815</v>
      </c>
      <c r="L44" s="26">
        <f>+'Special 05-06 (Original)'!L34</f>
        <v>40321007.772487327</v>
      </c>
      <c r="M44" s="25">
        <f>M46-M43</f>
        <v>43973894</v>
      </c>
    </row>
    <row r="45" spans="1:13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5"/>
    </row>
    <row r="46" spans="1:13" ht="15.75">
      <c r="A46" s="21" t="s">
        <v>5</v>
      </c>
      <c r="B46" s="1">
        <f>+B43+B44</f>
        <v>363313</v>
      </c>
      <c r="C46" s="1">
        <f t="shared" ref="C46:L46" si="5">C43+C44</f>
        <v>1131915.1820901982</v>
      </c>
      <c r="D46" s="1">
        <f t="shared" si="5"/>
        <v>2745480.8066075863</v>
      </c>
      <c r="E46" s="1">
        <f t="shared" si="5"/>
        <v>17351457.327747665</v>
      </c>
      <c r="F46" s="1">
        <f t="shared" si="5"/>
        <v>18763971.011837512</v>
      </c>
      <c r="G46" s="1">
        <f t="shared" si="5"/>
        <v>22234456.655832395</v>
      </c>
      <c r="H46" s="1">
        <f t="shared" si="5"/>
        <v>24388325.845924694</v>
      </c>
      <c r="I46" s="1">
        <f t="shared" si="5"/>
        <v>26384999.883741062</v>
      </c>
      <c r="J46" s="1">
        <f t="shared" si="5"/>
        <v>28777285.702156805</v>
      </c>
      <c r="K46" s="1">
        <f t="shared" si="5"/>
        <v>44572059.712098815</v>
      </c>
      <c r="L46" s="1">
        <f t="shared" si="5"/>
        <v>47130780.772487327</v>
      </c>
      <c r="M46" s="2">
        <v>51859734</v>
      </c>
    </row>
    <row r="47" spans="1:13" ht="15.7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13" ht="15.75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</row>
    <row r="49" spans="1:13" ht="15.75">
      <c r="A49" s="52" t="s">
        <v>36</v>
      </c>
      <c r="B49" s="1"/>
      <c r="C49" s="1"/>
      <c r="D49" s="101"/>
      <c r="E49" s="101"/>
      <c r="F49" s="101"/>
      <c r="G49" s="101"/>
      <c r="H49" s="101"/>
      <c r="I49" s="101"/>
      <c r="J49" s="101"/>
      <c r="K49" s="101"/>
      <c r="L49" s="101"/>
      <c r="M49" s="2"/>
    </row>
    <row r="50" spans="1:13" ht="15.75">
      <c r="A50" s="84" t="s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15.75">
      <c r="A51" s="84" t="s">
        <v>7</v>
      </c>
      <c r="B51" s="26">
        <f t="shared" ref="B51:G52" si="6">+B59</f>
        <v>185668</v>
      </c>
      <c r="C51" s="26">
        <f t="shared" si="6"/>
        <v>462581</v>
      </c>
      <c r="D51" s="26">
        <f t="shared" si="6"/>
        <v>1328985</v>
      </c>
      <c r="E51" s="26">
        <f t="shared" si="6"/>
        <v>1916871</v>
      </c>
      <c r="F51" s="26">
        <f t="shared" si="6"/>
        <v>2523372</v>
      </c>
      <c r="G51" s="26">
        <v>3139106</v>
      </c>
      <c r="H51" s="26">
        <v>3742297</v>
      </c>
      <c r="I51" s="26">
        <v>4377843</v>
      </c>
      <c r="J51" s="26">
        <v>5331162</v>
      </c>
      <c r="K51" s="26">
        <v>5966708</v>
      </c>
      <c r="L51" s="26">
        <v>6602254</v>
      </c>
      <c r="M51" s="25">
        <v>7944324</v>
      </c>
    </row>
    <row r="52" spans="1:13" ht="15.75">
      <c r="A52" s="84" t="s">
        <v>8</v>
      </c>
      <c r="B52" s="26">
        <f t="shared" si="6"/>
        <v>177645</v>
      </c>
      <c r="C52" s="26">
        <f t="shared" si="6"/>
        <v>627893</v>
      </c>
      <c r="D52" s="26">
        <f t="shared" si="6"/>
        <v>1435747</v>
      </c>
      <c r="E52" s="26">
        <f t="shared" si="6"/>
        <v>15255119</v>
      </c>
      <c r="F52" s="26">
        <f t="shared" si="6"/>
        <v>15928590</v>
      </c>
      <c r="G52" s="26">
        <f t="shared" si="6"/>
        <v>16341230</v>
      </c>
      <c r="H52" s="26">
        <f>+M52*45%</f>
        <v>19460896.199999999</v>
      </c>
      <c r="I52" s="26">
        <f>+M52*50%</f>
        <v>21623218</v>
      </c>
      <c r="J52" s="26">
        <f>+M52*53%</f>
        <v>22920611.080000002</v>
      </c>
      <c r="K52" s="26">
        <f>+M52*87%</f>
        <v>37624399.32</v>
      </c>
      <c r="L52" s="26">
        <f>+M52*92%</f>
        <v>39786721.120000005</v>
      </c>
      <c r="M52" s="25">
        <f>+M54-M51</f>
        <v>43246436</v>
      </c>
    </row>
    <row r="53" spans="1:13">
      <c r="A53" s="8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5"/>
    </row>
    <row r="54" spans="1:13" ht="15.75">
      <c r="A54" s="84" t="s">
        <v>5</v>
      </c>
      <c r="B54" s="1">
        <f t="shared" ref="B54:G54" si="7">+B51+B52</f>
        <v>363313</v>
      </c>
      <c r="C54" s="1">
        <f t="shared" si="7"/>
        <v>1090474</v>
      </c>
      <c r="D54" s="1">
        <f t="shared" si="7"/>
        <v>2764732</v>
      </c>
      <c r="E54" s="1">
        <f t="shared" si="7"/>
        <v>17171990</v>
      </c>
      <c r="F54" s="1">
        <f t="shared" si="7"/>
        <v>18451962</v>
      </c>
      <c r="G54" s="1">
        <f t="shared" si="7"/>
        <v>19480336</v>
      </c>
      <c r="H54" s="1">
        <f>+H52+H51</f>
        <v>23203193.199999999</v>
      </c>
      <c r="I54" s="1">
        <f>+I52+I51</f>
        <v>26001061</v>
      </c>
      <c r="J54" s="1">
        <f>+J52+J51</f>
        <v>28251773.080000002</v>
      </c>
      <c r="K54" s="1">
        <f>+K52+K51</f>
        <v>43591107.32</v>
      </c>
      <c r="L54" s="1">
        <f>+L52+L51</f>
        <v>46388975.120000005</v>
      </c>
      <c r="M54" s="2">
        <v>51190760</v>
      </c>
    </row>
    <row r="55" spans="1:13" ht="15.75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</row>
    <row r="56" spans="1:13" ht="15.75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</row>
    <row r="57" spans="1:13" ht="15.75">
      <c r="A57" s="52" t="s">
        <v>35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5"/>
    </row>
    <row r="58" spans="1:13" ht="15.75">
      <c r="A58" s="21" t="s">
        <v>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5"/>
    </row>
    <row r="59" spans="1:13" ht="15.75">
      <c r="A59" s="21" t="s">
        <v>7</v>
      </c>
      <c r="B59" s="26">
        <v>185668</v>
      </c>
      <c r="C59" s="26">
        <f>152358+124555+B59</f>
        <v>462581</v>
      </c>
      <c r="D59" s="26">
        <f>295682-800+284226+334+286962+C59</f>
        <v>1328985</v>
      </c>
      <c r="E59" s="26">
        <f>291458-523+296951+D59</f>
        <v>1916871</v>
      </c>
      <c r="F59" s="26">
        <f>292211+314065+225+E59</f>
        <v>2523372</v>
      </c>
      <c r="G59" s="26">
        <v>3139106</v>
      </c>
      <c r="H59" s="26">
        <f>285418+294287+G59</f>
        <v>3718811</v>
      </c>
      <c r="I59" s="26"/>
      <c r="J59" s="26"/>
      <c r="K59" s="26"/>
      <c r="L59" s="26"/>
      <c r="M59" s="25"/>
    </row>
    <row r="60" spans="1:13" ht="15.75">
      <c r="A60" s="21" t="s">
        <v>8</v>
      </c>
      <c r="B60" s="26">
        <v>177645</v>
      </c>
      <c r="C60" s="26">
        <v>627893</v>
      </c>
      <c r="D60" s="26">
        <v>1435747</v>
      </c>
      <c r="E60" s="26">
        <v>15255119</v>
      </c>
      <c r="F60" s="26">
        <v>15928590</v>
      </c>
      <c r="G60" s="99">
        <f>+G62-G59</f>
        <v>16341230</v>
      </c>
      <c r="H60" s="99">
        <f>+H62-H59</f>
        <v>18891886</v>
      </c>
      <c r="I60" s="26"/>
      <c r="J60" s="26"/>
      <c r="K60" s="26"/>
      <c r="L60" s="26"/>
      <c r="M60" s="25"/>
    </row>
    <row r="61" spans="1:13">
      <c r="A61" s="27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5"/>
    </row>
    <row r="62" spans="1:13" ht="16.5" thickBot="1">
      <c r="A62" s="32" t="s">
        <v>5</v>
      </c>
      <c r="B62" s="3">
        <f>SUM(B59:B61)</f>
        <v>363313</v>
      </c>
      <c r="C62" s="3">
        <f>SUM(C59:C61)</f>
        <v>1090474</v>
      </c>
      <c r="D62" s="3">
        <f>SUM(D59:D61)</f>
        <v>2764732</v>
      </c>
      <c r="E62" s="3">
        <f>SUM(E59:E61)</f>
        <v>17171990</v>
      </c>
      <c r="F62" s="3">
        <f>SUM(F59:F61)</f>
        <v>18451962</v>
      </c>
      <c r="G62" s="3">
        <v>19480336</v>
      </c>
      <c r="H62" s="3">
        <v>22610697</v>
      </c>
      <c r="I62" s="3">
        <v>0</v>
      </c>
      <c r="J62" s="3">
        <v>0</v>
      </c>
      <c r="K62" s="3">
        <v>0</v>
      </c>
      <c r="L62" s="3">
        <v>0</v>
      </c>
      <c r="M62" s="4">
        <v>0</v>
      </c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5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>
      <c r="J65" s="13"/>
      <c r="K65" s="13"/>
      <c r="L65" s="13"/>
      <c r="M65" s="13"/>
    </row>
    <row r="66" spans="1:13" ht="15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>
      <c r="A67" s="13"/>
      <c r="B67" s="13"/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>
      <c r="A69" s="13"/>
      <c r="B69" s="13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>
      <c r="A71" s="13"/>
      <c r="B71" s="13"/>
      <c r="C71" s="13"/>
      <c r="D71" s="13"/>
      <c r="E71" s="13"/>
      <c r="F71" s="13"/>
      <c r="G71" s="13"/>
      <c r="H71" s="13"/>
      <c r="I71" s="13"/>
    </row>
    <row r="79" spans="1:13" ht="15.75">
      <c r="A79" s="12"/>
      <c r="B79" s="35"/>
      <c r="C79" s="35"/>
      <c r="D79" s="35"/>
      <c r="E79" s="35"/>
      <c r="F79" s="35"/>
      <c r="G79" s="35"/>
      <c r="H79" s="35"/>
    </row>
    <row r="80" spans="1:13" ht="15.75">
      <c r="A80" s="12"/>
      <c r="B80" s="35"/>
      <c r="C80" s="35"/>
      <c r="D80" s="35"/>
      <c r="E80" s="35"/>
      <c r="F80" s="35"/>
      <c r="G80" s="35"/>
      <c r="H80" s="35"/>
    </row>
    <row r="81" spans="1:8" ht="15.75">
      <c r="A81" s="12"/>
      <c r="B81" s="35"/>
      <c r="C81" s="35"/>
      <c r="D81" s="35"/>
      <c r="E81" s="35"/>
      <c r="F81" s="35"/>
      <c r="G81" s="35"/>
      <c r="H81" s="35"/>
    </row>
    <row r="82" spans="1:8" ht="15.75">
      <c r="A82" s="12"/>
      <c r="B82" s="35"/>
      <c r="C82" s="35"/>
      <c r="D82" s="35"/>
      <c r="E82" s="35"/>
      <c r="F82" s="35"/>
      <c r="G82" s="35"/>
      <c r="H82" s="35"/>
    </row>
    <row r="83" spans="1:8" ht="15.75">
      <c r="A83" s="12"/>
      <c r="B83" s="35"/>
      <c r="C83" s="35"/>
      <c r="D83" s="35"/>
      <c r="E83" s="35"/>
      <c r="F83" s="35"/>
      <c r="G83" s="35"/>
      <c r="H83" s="35"/>
    </row>
    <row r="84" spans="1:8" ht="15.75">
      <c r="A84" s="12"/>
      <c r="B84" s="35"/>
      <c r="C84" s="35"/>
      <c r="D84" s="35"/>
      <c r="E84" s="35"/>
      <c r="F84" s="35"/>
      <c r="G84" s="35"/>
      <c r="H84" s="35"/>
    </row>
    <row r="85" spans="1:8" ht="12.95" customHeight="1">
      <c r="A85" s="12"/>
      <c r="B85" s="35"/>
      <c r="C85" s="35"/>
      <c r="D85" s="35"/>
      <c r="E85" s="35"/>
      <c r="F85" s="35"/>
      <c r="G85" s="35"/>
      <c r="H85" s="35"/>
    </row>
    <row r="86" spans="1:8" ht="15.75">
      <c r="A86" s="12"/>
      <c r="B86" s="35"/>
      <c r="C86" s="35"/>
      <c r="D86" s="35"/>
      <c r="E86" s="35"/>
      <c r="F86" s="35"/>
      <c r="G86" s="35"/>
      <c r="H86" s="35"/>
    </row>
    <row r="87" spans="1:8" ht="15.75">
      <c r="A87" s="12"/>
      <c r="B87" s="35"/>
      <c r="C87" s="35"/>
      <c r="D87" s="35"/>
      <c r="E87" s="35"/>
      <c r="F87" s="35"/>
      <c r="G87" s="35"/>
      <c r="H87" s="35"/>
    </row>
    <row r="88" spans="1:8" ht="15.75">
      <c r="A88" s="12"/>
      <c r="B88" s="35"/>
      <c r="C88" s="35"/>
      <c r="D88" s="35"/>
      <c r="E88" s="35"/>
      <c r="F88" s="35"/>
      <c r="G88" s="35"/>
      <c r="H88" s="35"/>
    </row>
    <row r="89" spans="1:8" ht="15.75">
      <c r="A89" s="12"/>
      <c r="B89" s="35"/>
      <c r="C89" s="35"/>
      <c r="D89" s="35"/>
      <c r="E89" s="35"/>
      <c r="F89" s="35"/>
      <c r="G89" s="35"/>
      <c r="H89" s="35"/>
    </row>
    <row r="90" spans="1:8" ht="15.75">
      <c r="A90" s="12"/>
      <c r="B90" s="35"/>
      <c r="C90" s="35"/>
      <c r="D90" s="35"/>
      <c r="E90" s="35"/>
      <c r="F90" s="35"/>
      <c r="G90" s="35"/>
      <c r="H90" s="35"/>
    </row>
    <row r="91" spans="1:8" ht="15.75">
      <c r="A91" s="12"/>
      <c r="B91" s="35"/>
      <c r="C91" s="35"/>
      <c r="D91" s="35"/>
      <c r="E91" s="35"/>
      <c r="F91" s="35"/>
      <c r="G91" s="35"/>
      <c r="H91" s="35"/>
    </row>
    <row r="113" spans="1:8" ht="15.75">
      <c r="A113" s="12"/>
      <c r="B113" s="12"/>
      <c r="C113" s="13"/>
      <c r="D113" s="13"/>
      <c r="E113" s="13"/>
    </row>
    <row r="115" spans="1:8" ht="15.75">
      <c r="A115" s="12"/>
      <c r="B115" s="12"/>
      <c r="C115" s="12"/>
      <c r="D115" s="12"/>
      <c r="E115" s="12"/>
      <c r="F115" s="12"/>
      <c r="G115" s="13"/>
      <c r="H115" s="13"/>
    </row>
    <row r="116" spans="1:8" ht="15.75">
      <c r="A116" s="12"/>
      <c r="B116" s="12"/>
      <c r="C116" s="12"/>
      <c r="D116" s="12"/>
      <c r="E116" s="12"/>
      <c r="F116" s="12"/>
      <c r="G116" s="13"/>
      <c r="H116" s="13"/>
    </row>
    <row r="117" spans="1:8" ht="15.75">
      <c r="A117" s="12"/>
      <c r="B117" s="12"/>
      <c r="C117" s="12"/>
      <c r="D117" s="12"/>
      <c r="E117" s="12"/>
      <c r="F117" s="12"/>
      <c r="G117" s="13"/>
      <c r="H117" s="13"/>
    </row>
    <row r="121" spans="1:8" ht="15.75">
      <c r="A121" s="12"/>
      <c r="C121" s="13" t="s">
        <v>9</v>
      </c>
      <c r="D121" s="13"/>
      <c r="E121" s="13"/>
      <c r="F121" s="36">
        <v>22091321</v>
      </c>
    </row>
  </sheetData>
  <phoneticPr fontId="13" type="noConversion"/>
  <printOptions horizontalCentered="1" verticalCentered="1"/>
  <pageMargins left="0.5" right="0.5" top="0.5" bottom="0.5" header="0.5" footer="0.5"/>
  <pageSetup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121"/>
  <sheetViews>
    <sheetView defaultGridColor="0" colorId="22" zoomScale="87" workbookViewId="0">
      <selection activeCell="I121" sqref="A69:I121"/>
    </sheetView>
  </sheetViews>
  <sheetFormatPr defaultColWidth="12.5703125" defaultRowHeight="15"/>
  <cols>
    <col min="1" max="1" width="22.85546875" style="69" customWidth="1"/>
    <col min="2" max="2" width="12.5703125" style="69"/>
    <col min="3" max="4" width="14.5703125" style="69" bestFit="1" customWidth="1"/>
    <col min="5" max="5" width="14.5703125" style="69" customWidth="1"/>
    <col min="6" max="6" width="16.42578125" style="69" customWidth="1"/>
    <col min="7" max="7" width="15.5703125" style="69" customWidth="1"/>
    <col min="8" max="8" width="15.85546875" style="69" customWidth="1"/>
    <col min="9" max="9" width="16" style="69" customWidth="1"/>
    <col min="10" max="10" width="15.5703125" style="69" customWidth="1"/>
    <col min="11" max="11" width="16" style="69" customWidth="1"/>
    <col min="12" max="12" width="16.140625" style="69" customWidth="1"/>
    <col min="13" max="13" width="15.85546875" style="69" customWidth="1"/>
    <col min="14" max="16384" width="12.5703125" style="69"/>
  </cols>
  <sheetData>
    <row r="1" spans="1:36" ht="20.25">
      <c r="A1" s="37" t="s">
        <v>34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</row>
    <row r="2" spans="1:36" ht="18.75">
      <c r="A2" s="70" t="s">
        <v>0</v>
      </c>
      <c r="B2" s="71"/>
      <c r="C2" s="72"/>
      <c r="D2" s="67"/>
      <c r="E2" s="68"/>
      <c r="F2" s="68"/>
      <c r="G2" s="68"/>
      <c r="H2" s="68"/>
      <c r="I2" s="68"/>
      <c r="J2" s="68"/>
      <c r="K2" s="68"/>
      <c r="L2" s="68"/>
      <c r="M2" s="68"/>
    </row>
    <row r="5" spans="1:36" ht="18.75" thickBot="1">
      <c r="A5" s="73" t="s">
        <v>22</v>
      </c>
      <c r="B5" s="74"/>
      <c r="C5" s="74"/>
      <c r="D5" s="75"/>
      <c r="E5" s="75"/>
      <c r="F5" s="75"/>
      <c r="G5" s="75"/>
      <c r="H5" s="75"/>
      <c r="I5" s="76"/>
      <c r="J5" s="76"/>
      <c r="K5" s="76"/>
      <c r="L5" s="76"/>
      <c r="M5" s="76"/>
    </row>
    <row r="6" spans="1:36" ht="15.75">
      <c r="A6" s="77"/>
      <c r="B6" s="78" t="s">
        <v>10</v>
      </c>
      <c r="C6" s="78" t="s">
        <v>11</v>
      </c>
      <c r="D6" s="78" t="s">
        <v>12</v>
      </c>
      <c r="E6" s="78" t="s">
        <v>13</v>
      </c>
      <c r="F6" s="78" t="s">
        <v>14</v>
      </c>
      <c r="G6" s="78" t="s">
        <v>15</v>
      </c>
      <c r="H6" s="78" t="s">
        <v>16</v>
      </c>
      <c r="I6" s="78" t="s">
        <v>17</v>
      </c>
      <c r="J6" s="78" t="s">
        <v>18</v>
      </c>
      <c r="K6" s="78" t="s">
        <v>19</v>
      </c>
      <c r="L6" s="78" t="s">
        <v>20</v>
      </c>
      <c r="M6" s="79" t="s">
        <v>21</v>
      </c>
    </row>
    <row r="7" spans="1:36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36" ht="15.75">
      <c r="A8" s="83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36" ht="15.75">
      <c r="A9" s="84" t="s">
        <v>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36" ht="15.75">
      <c r="A10" s="84" t="s">
        <v>2</v>
      </c>
      <c r="B10" s="87">
        <f>+B20</f>
        <v>15688</v>
      </c>
      <c r="C10" s="87">
        <f>+'Vocational 04-05 (template)'!C31*'Vocational 05-06 (Original)'!$M$10</f>
        <v>2207054.889233652</v>
      </c>
      <c r="D10" s="87">
        <f>+'Vocational 04-05 (template)'!D31*'Vocational 05-06 (Original)'!$M$10</f>
        <v>8449302.6635450032</v>
      </c>
      <c r="E10" s="87">
        <f>+'Vocational 04-05 (template)'!E31*'Vocational 05-06 (Original)'!$M$10</f>
        <v>8949631.6004957557</v>
      </c>
      <c r="F10" s="87">
        <f>+'Vocational 04-05 (template)'!F31*'Vocational 05-06 (Original)'!$M$10</f>
        <v>9411165.7799259722</v>
      </c>
      <c r="G10" s="87">
        <f>+'Vocational 04-05 (template)'!G31*'Vocational 05-06 (Original)'!$M$10</f>
        <v>9769184.9731847364</v>
      </c>
      <c r="H10" s="87">
        <f>+'Vocational 04-05 (template)'!H31*'Vocational 05-06 (Original)'!$M$10</f>
        <v>10175953.828390002</v>
      </c>
      <c r="I10" s="87">
        <f>+'Vocational 04-05 (template)'!I31*'Vocational 05-06 (Original)'!$M$10</f>
        <v>10492472.34570834</v>
      </c>
      <c r="J10" s="87">
        <f>+'Vocational 04-05 (template)'!J31*'Vocational 05-06 (Original)'!$M$10</f>
        <v>10715652.594707644</v>
      </c>
      <c r="K10" s="87">
        <f>+'Vocational 04-05 (template)'!K31*'Vocational 05-06 (Original)'!$M$10</f>
        <v>11550802.73740091</v>
      </c>
      <c r="L10" s="87">
        <f>+'Vocational 04-05 (template)'!L31*'Vocational 05-06 (Original)'!$M$10</f>
        <v>11748733.224689296</v>
      </c>
      <c r="M10" s="86">
        <v>12021650</v>
      </c>
    </row>
    <row r="11" spans="1:36" ht="15.75">
      <c r="A11" s="84" t="s">
        <v>3</v>
      </c>
      <c r="B11" s="85">
        <f>+B21</f>
        <v>0</v>
      </c>
      <c r="C11" s="85">
        <f>+'Vocational 04-05 (template)'!C33*'Vocational 05-06 (Original)'!$M$11</f>
        <v>100.75666831890209</v>
      </c>
      <c r="D11" s="85">
        <f>+'Vocational 04-05 (template)'!D33*'Vocational 05-06 (Original)'!$M$11</f>
        <v>154.64976997784973</v>
      </c>
      <c r="E11" s="85">
        <f>+'Vocational 04-05 (template)'!E33*'Vocational 05-06 (Original)'!$M$11</f>
        <v>64512.38586409331</v>
      </c>
      <c r="F11" s="85">
        <f>+'Vocational 04-05 (template)'!F33*'Vocational 05-06 (Original)'!$M$11</f>
        <v>128572.53830991805</v>
      </c>
      <c r="G11" s="85">
        <f>+'Vocational 04-05 (template)'!G33*'Vocational 05-06 (Original)'!$M$11</f>
        <v>192713.53040823125</v>
      </c>
      <c r="H11" s="85">
        <f>+'Vocational 04-05 (template)'!H33*'Vocational 05-06 (Original)'!$M$11</f>
        <v>256952.93599653029</v>
      </c>
      <c r="I11" s="85">
        <f>+'Vocational 04-05 (template)'!I33*'Vocational 05-06 (Original)'!$M$11</f>
        <v>321813.28384307382</v>
      </c>
      <c r="J11" s="85">
        <f>+'Vocational 04-05 (template)'!J33*'Vocational 05-06 (Original)'!$M$11</f>
        <v>387548.80879699194</v>
      </c>
      <c r="K11" s="85">
        <f>+'Vocational 04-05 (template)'!K33*'Vocational 05-06 (Original)'!$M$11</f>
        <v>451987.38454359578</v>
      </c>
      <c r="L11" s="85">
        <f>+'Vocational 04-05 (template)'!L33*'Vocational 05-06 (Original)'!$M$11</f>
        <v>516122.51869607647</v>
      </c>
      <c r="M11" s="86">
        <v>605093</v>
      </c>
    </row>
    <row r="12" spans="1:36" ht="15.75">
      <c r="A12" s="84" t="s">
        <v>4</v>
      </c>
      <c r="B12" s="85">
        <f>+'Vocational 04-05 (template)'!B35*'Vocational 05-06 (Original)'!$M$12</f>
        <v>0</v>
      </c>
      <c r="C12" s="85">
        <f>+'Vocational 04-05 (template)'!C35*'Vocational 05-06 (Original)'!$M$12</f>
        <v>0</v>
      </c>
      <c r="D12" s="85">
        <f>+'Vocational 04-05 (template)'!D35*'Vocational 05-06 (Original)'!$M$12</f>
        <v>1234.3949306325799</v>
      </c>
      <c r="E12" s="85">
        <f>+'Vocational 04-05 (template)'!E35*'Vocational 05-06 (Original)'!$M$12</f>
        <v>6737.3551671000232</v>
      </c>
      <c r="F12" s="85">
        <f>+'Vocational 04-05 (template)'!F35*'Vocational 05-06 (Original)'!$M$12</f>
        <v>114128.56264432606</v>
      </c>
      <c r="G12" s="85">
        <f>+'Vocational 04-05 (template)'!G35*'Vocational 05-06 (Original)'!$M$12</f>
        <v>122152.12969343783</v>
      </c>
      <c r="H12" s="85">
        <f>+'Vocational 04-05 (template)'!H35*'Vocational 05-06 (Original)'!$M$12</f>
        <v>216397.95234967361</v>
      </c>
      <c r="I12" s="85">
        <f>+'Vocational 04-05 (template)'!I35*'Vocational 05-06 (Original)'!$M$12</f>
        <v>222130.05866001782</v>
      </c>
      <c r="J12" s="85">
        <f>+'Vocational 04-05 (template)'!J35*'Vocational 05-06 (Original)'!$M$12</f>
        <v>289746.57425859594</v>
      </c>
      <c r="K12" s="85">
        <f>+'Vocational 04-05 (template)'!K35*'Vocational 05-06 (Original)'!$M$12</f>
        <v>353111.79686846555</v>
      </c>
      <c r="L12" s="85">
        <f>+'Vocational 04-05 (template)'!L35*'Vocational 05-06 (Original)'!$M$12</f>
        <v>357123.5803930214</v>
      </c>
      <c r="M12" s="86">
        <v>506627</v>
      </c>
    </row>
    <row r="13" spans="1:36" ht="15.75">
      <c r="A13" s="84" t="s">
        <v>25</v>
      </c>
      <c r="B13" s="85">
        <f>+'Vocational 04-05 (template)'!B37*'Vocational 05-06 (Original)'!$M$13</f>
        <v>0</v>
      </c>
      <c r="C13" s="85">
        <f>+'Vocational 04-05 (template)'!C37*'Vocational 05-06 (Original)'!$M$13</f>
        <v>0</v>
      </c>
      <c r="D13" s="85">
        <f>+'Vocational 04-05 (template)'!D37*'Vocational 05-06 (Original)'!$M$13</f>
        <v>0</v>
      </c>
      <c r="E13" s="85">
        <f>+'Vocational 04-05 (template)'!E37*'Vocational 05-06 (Original)'!$M$13</f>
        <v>0</v>
      </c>
      <c r="F13" s="85">
        <f>+'Vocational 04-05 (template)'!F37*'Vocational 05-06 (Original)'!$M$13</f>
        <v>0</v>
      </c>
      <c r="G13" s="85">
        <f>+'Vocational 04-05 (template)'!G37*'Vocational 05-06 (Original)'!$M$13</f>
        <v>0</v>
      </c>
      <c r="H13" s="85">
        <f>+'Vocational 04-05 (template)'!H37*'Vocational 05-06 (Original)'!$M$13</f>
        <v>0</v>
      </c>
      <c r="I13" s="85">
        <f>+'Vocational 04-05 (template)'!I37*'Vocational 05-06 (Original)'!$M$13</f>
        <v>0</v>
      </c>
      <c r="J13" s="85">
        <f>+'Vocational 04-05 (template)'!J37*'Vocational 05-06 (Original)'!$M$13</f>
        <v>0</v>
      </c>
      <c r="K13" s="85">
        <f>+'Vocational 04-05 (template)'!K37*'Vocational 05-06 (Original)'!$M$13</f>
        <v>0</v>
      </c>
      <c r="L13" s="85">
        <f>+'Vocational 04-05 (template)'!L37*'Vocational 05-06 (Original)'!$M$13</f>
        <v>0</v>
      </c>
      <c r="M13" s="86">
        <v>0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>
      <c r="A14" s="8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36" ht="15.75">
      <c r="A15" s="84" t="s">
        <v>5</v>
      </c>
      <c r="B15" s="1">
        <f t="shared" ref="B15:M15" si="0">SUM(B10:B14)</f>
        <v>15688</v>
      </c>
      <c r="C15" s="1">
        <f t="shared" si="0"/>
        <v>2207155.645901971</v>
      </c>
      <c r="D15" s="1">
        <f t="shared" si="0"/>
        <v>8450691.7082456145</v>
      </c>
      <c r="E15" s="1">
        <f t="shared" si="0"/>
        <v>9020881.3415269498</v>
      </c>
      <c r="F15" s="1">
        <f t="shared" si="0"/>
        <v>9653866.8808802161</v>
      </c>
      <c r="G15" s="1">
        <f t="shared" si="0"/>
        <v>10084050.633286405</v>
      </c>
      <c r="H15" s="1">
        <f t="shared" si="0"/>
        <v>10649304.716736207</v>
      </c>
      <c r="I15" s="1">
        <f t="shared" si="0"/>
        <v>11036415.688211432</v>
      </c>
      <c r="J15" s="1">
        <f t="shared" si="0"/>
        <v>11392947.977763232</v>
      </c>
      <c r="K15" s="1">
        <f t="shared" si="0"/>
        <v>12355901.918812972</v>
      </c>
      <c r="L15" s="1">
        <f t="shared" si="0"/>
        <v>12621979.323778395</v>
      </c>
      <c r="M15" s="2">
        <f t="shared" si="0"/>
        <v>13133370</v>
      </c>
    </row>
    <row r="16" spans="1:36" ht="15.75">
      <c r="A16" s="8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6" ht="15.75">
      <c r="A17" s="8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6" ht="15.75">
      <c r="A18" s="52" t="s">
        <v>36</v>
      </c>
      <c r="B18" s="1"/>
      <c r="C18" s="1"/>
      <c r="D18" s="1"/>
      <c r="E18" s="1"/>
      <c r="F18" s="101"/>
      <c r="G18" s="101"/>
      <c r="H18" s="102"/>
      <c r="I18" s="1"/>
      <c r="J18" s="1"/>
      <c r="K18" s="1"/>
      <c r="L18" s="1"/>
      <c r="M18" s="2"/>
    </row>
    <row r="19" spans="1:16" ht="15.75">
      <c r="A19" s="84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ht="15.75">
      <c r="A20" s="84" t="s">
        <v>2</v>
      </c>
      <c r="B20" s="87">
        <f t="shared" ref="B20:G23" si="1">+B30</f>
        <v>15688</v>
      </c>
      <c r="C20" s="87">
        <f t="shared" si="1"/>
        <v>2786806</v>
      </c>
      <c r="D20" s="87">
        <f t="shared" si="1"/>
        <v>9081058</v>
      </c>
      <c r="E20" s="87">
        <f t="shared" si="1"/>
        <v>9811028</v>
      </c>
      <c r="F20" s="87">
        <f t="shared" si="1"/>
        <v>10007499</v>
      </c>
      <c r="G20" s="87">
        <f t="shared" si="1"/>
        <v>10238057</v>
      </c>
      <c r="H20" s="87">
        <f>+M20*88%</f>
        <v>10587148</v>
      </c>
      <c r="I20" s="87">
        <f>+M20*90%</f>
        <v>10827765</v>
      </c>
      <c r="J20" s="87">
        <f>+M20*92%</f>
        <v>11068382</v>
      </c>
      <c r="K20" s="87">
        <f>+M20*94%</f>
        <v>11308999</v>
      </c>
      <c r="L20" s="87">
        <f>+M20*98%</f>
        <v>11790233</v>
      </c>
      <c r="M20" s="86">
        <v>12030850</v>
      </c>
    </row>
    <row r="21" spans="1:16" ht="15.75">
      <c r="A21" s="84" t="s">
        <v>3</v>
      </c>
      <c r="B21" s="85">
        <f t="shared" si="1"/>
        <v>0</v>
      </c>
      <c r="C21" s="85">
        <f t="shared" si="1"/>
        <v>0</v>
      </c>
      <c r="D21" s="85">
        <f t="shared" si="1"/>
        <v>0</v>
      </c>
      <c r="E21" s="85">
        <f t="shared" si="1"/>
        <v>75668</v>
      </c>
      <c r="F21" s="85">
        <f t="shared" si="1"/>
        <v>132463</v>
      </c>
      <c r="G21" s="85">
        <f t="shared" si="1"/>
        <v>189258</v>
      </c>
      <c r="H21" s="85">
        <f>+G21+57115</f>
        <v>246373</v>
      </c>
      <c r="I21" s="85">
        <f>+H21+57115</f>
        <v>303488</v>
      </c>
      <c r="J21" s="85">
        <f>+I21+57115</f>
        <v>360603</v>
      </c>
      <c r="K21" s="85">
        <f>+J21+57115</f>
        <v>417718</v>
      </c>
      <c r="L21" s="85">
        <f>+K21+57115</f>
        <v>474833</v>
      </c>
      <c r="M21" s="86">
        <v>646181</v>
      </c>
    </row>
    <row r="22" spans="1:16" ht="15.75">
      <c r="A22" s="84" t="s">
        <v>4</v>
      </c>
      <c r="B22" s="85">
        <f t="shared" si="1"/>
        <v>0</v>
      </c>
      <c r="C22" s="85">
        <f t="shared" si="1"/>
        <v>938</v>
      </c>
      <c r="D22" s="85">
        <f t="shared" si="1"/>
        <v>14797</v>
      </c>
      <c r="E22" s="85">
        <f t="shared" si="1"/>
        <v>21863</v>
      </c>
      <c r="F22" s="85">
        <f t="shared" si="1"/>
        <v>120825</v>
      </c>
      <c r="G22" s="85">
        <f t="shared" si="1"/>
        <v>174672</v>
      </c>
      <c r="H22" s="85">
        <f>+G22+31404</f>
        <v>206076</v>
      </c>
      <c r="I22" s="85">
        <f>+H22+71079</f>
        <v>277155</v>
      </c>
      <c r="J22" s="85">
        <f>+I22+71079</f>
        <v>348234</v>
      </c>
      <c r="K22" s="85">
        <f>+J22+71079</f>
        <v>419313</v>
      </c>
      <c r="L22" s="85">
        <f>+K22+71079</f>
        <v>490392</v>
      </c>
      <c r="M22" s="86">
        <v>561470</v>
      </c>
    </row>
    <row r="23" spans="1:16" ht="15.75">
      <c r="A23" s="84" t="s">
        <v>25</v>
      </c>
      <c r="B23" s="85">
        <f t="shared" si="1"/>
        <v>0</v>
      </c>
      <c r="C23" s="85">
        <f t="shared" si="1"/>
        <v>0</v>
      </c>
      <c r="D23" s="85">
        <f t="shared" si="1"/>
        <v>0</v>
      </c>
      <c r="E23" s="85">
        <f t="shared" si="1"/>
        <v>1511</v>
      </c>
      <c r="F23" s="85">
        <f t="shared" si="1"/>
        <v>1511</v>
      </c>
      <c r="G23" s="85">
        <f t="shared" si="1"/>
        <v>1511</v>
      </c>
      <c r="H23" s="85">
        <v>1511</v>
      </c>
      <c r="I23" s="85">
        <v>1511</v>
      </c>
      <c r="J23" s="85">
        <v>1511</v>
      </c>
      <c r="K23" s="85">
        <v>1511</v>
      </c>
      <c r="L23" s="85">
        <v>1511</v>
      </c>
      <c r="M23" s="86">
        <v>3511</v>
      </c>
    </row>
    <row r="24" spans="1:16">
      <c r="A24" s="8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6" ht="15.75">
      <c r="A25" s="84" t="s">
        <v>5</v>
      </c>
      <c r="B25" s="1">
        <f t="shared" ref="B25:G25" si="2">SUM(B20:B24)</f>
        <v>15688</v>
      </c>
      <c r="C25" s="1">
        <f t="shared" si="2"/>
        <v>2787744</v>
      </c>
      <c r="D25" s="1">
        <f t="shared" si="2"/>
        <v>9095855</v>
      </c>
      <c r="E25" s="1">
        <f t="shared" si="2"/>
        <v>9910070</v>
      </c>
      <c r="F25" s="1">
        <f t="shared" si="2"/>
        <v>10262298</v>
      </c>
      <c r="G25" s="1">
        <f t="shared" si="2"/>
        <v>10603498</v>
      </c>
      <c r="H25" s="1">
        <f t="shared" ref="H25:M25" si="3">SUM(H20:H24)</f>
        <v>11041108</v>
      </c>
      <c r="I25" s="1">
        <f t="shared" si="3"/>
        <v>11409919</v>
      </c>
      <c r="J25" s="1">
        <f t="shared" si="3"/>
        <v>11778730</v>
      </c>
      <c r="K25" s="1">
        <f t="shared" si="3"/>
        <v>12147541</v>
      </c>
      <c r="L25" s="1">
        <f t="shared" si="3"/>
        <v>12756969</v>
      </c>
      <c r="M25" s="2">
        <f t="shared" si="3"/>
        <v>13242012</v>
      </c>
    </row>
    <row r="26" spans="1:16" ht="15.75">
      <c r="A26" s="8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6" ht="15.75">
      <c r="A27" s="8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6" ht="15.75">
      <c r="A28" s="52" t="s">
        <v>35</v>
      </c>
      <c r="B28" s="87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6" ht="15.75">
      <c r="A29" s="84" t="s">
        <v>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6" ht="15.75">
      <c r="A30" s="84" t="s">
        <v>2</v>
      </c>
      <c r="B30" s="87">
        <v>15688</v>
      </c>
      <c r="C30" s="87">
        <v>2786806</v>
      </c>
      <c r="D30" s="87">
        <v>9081058</v>
      </c>
      <c r="E30" s="89">
        <v>9811028</v>
      </c>
      <c r="F30" s="87">
        <v>10007499</v>
      </c>
      <c r="G30" s="87">
        <v>10238057</v>
      </c>
      <c r="H30" s="87">
        <v>10648368</v>
      </c>
      <c r="I30" s="89"/>
      <c r="J30" s="89"/>
      <c r="K30" s="89"/>
      <c r="L30" s="89"/>
      <c r="M30" s="90"/>
      <c r="N30" s="76"/>
      <c r="O30" s="76"/>
      <c r="P30" s="76"/>
    </row>
    <row r="31" spans="1:16" ht="15.75">
      <c r="A31" s="84" t="s">
        <v>3</v>
      </c>
      <c r="B31" s="85">
        <v>0</v>
      </c>
      <c r="C31" s="85">
        <v>0</v>
      </c>
      <c r="D31" s="85">
        <v>0</v>
      </c>
      <c r="E31" s="91">
        <v>75668</v>
      </c>
      <c r="F31" s="85">
        <v>132463</v>
      </c>
      <c r="G31" s="85">
        <v>189258</v>
      </c>
      <c r="H31" s="85">
        <v>238028</v>
      </c>
      <c r="I31" s="91"/>
      <c r="J31" s="91"/>
      <c r="K31" s="91"/>
      <c r="L31" s="91"/>
      <c r="M31" s="86"/>
    </row>
    <row r="32" spans="1:16" ht="15.75">
      <c r="A32" s="84" t="s">
        <v>4</v>
      </c>
      <c r="B32" s="85">
        <v>0</v>
      </c>
      <c r="C32" s="85">
        <v>938</v>
      </c>
      <c r="D32" s="85">
        <v>14797</v>
      </c>
      <c r="E32" s="91">
        <v>21863</v>
      </c>
      <c r="F32" s="85">
        <v>120825</v>
      </c>
      <c r="G32" s="85">
        <v>174672</v>
      </c>
      <c r="H32" s="85">
        <v>206076</v>
      </c>
      <c r="I32" s="91"/>
      <c r="J32" s="91"/>
      <c r="K32" s="91"/>
      <c r="L32" s="91"/>
      <c r="M32" s="86"/>
    </row>
    <row r="33" spans="1:13" ht="15.75">
      <c r="A33" s="84" t="s">
        <v>25</v>
      </c>
      <c r="B33" s="85">
        <v>0</v>
      </c>
      <c r="C33" s="91">
        <v>0</v>
      </c>
      <c r="D33" s="91">
        <v>0</v>
      </c>
      <c r="E33" s="91">
        <v>1511</v>
      </c>
      <c r="F33" s="85">
        <v>1511</v>
      </c>
      <c r="G33" s="85">
        <v>1511</v>
      </c>
      <c r="H33" s="85">
        <v>5973</v>
      </c>
      <c r="I33" s="91"/>
      <c r="J33" s="91"/>
      <c r="K33" s="91"/>
      <c r="L33" s="91"/>
      <c r="M33" s="86"/>
    </row>
    <row r="34" spans="1:13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</row>
    <row r="35" spans="1:13" ht="16.5" thickBot="1">
      <c r="A35" s="92" t="s">
        <v>5</v>
      </c>
      <c r="B35" s="3">
        <f t="shared" ref="B35:L35" si="4">SUM(B30:B34)</f>
        <v>15688</v>
      </c>
      <c r="C35" s="3">
        <f t="shared" si="4"/>
        <v>2787744</v>
      </c>
      <c r="D35" s="3">
        <f t="shared" si="4"/>
        <v>9095855</v>
      </c>
      <c r="E35" s="3">
        <f t="shared" si="4"/>
        <v>9910070</v>
      </c>
      <c r="F35" s="3">
        <f t="shared" si="4"/>
        <v>10262298</v>
      </c>
      <c r="G35" s="3">
        <f t="shared" si="4"/>
        <v>10603498</v>
      </c>
      <c r="H35" s="3">
        <f t="shared" si="4"/>
        <v>11098445</v>
      </c>
      <c r="I35" s="3">
        <f t="shared" si="4"/>
        <v>0</v>
      </c>
      <c r="J35" s="3">
        <f t="shared" si="4"/>
        <v>0</v>
      </c>
      <c r="K35" s="3">
        <f t="shared" si="4"/>
        <v>0</v>
      </c>
      <c r="L35" s="3">
        <f t="shared" si="4"/>
        <v>0</v>
      </c>
      <c r="M35" s="4">
        <f>+M30+M31+M32+M33</f>
        <v>0</v>
      </c>
    </row>
    <row r="36" spans="1:1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>
      <c r="A37" s="94"/>
      <c r="B37" s="95"/>
      <c r="C37" s="95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ht="18.75" thickBot="1">
      <c r="A38" s="96" t="s">
        <v>23</v>
      </c>
      <c r="B38" s="94"/>
      <c r="C38" s="94"/>
      <c r="D38" s="94"/>
      <c r="E38" s="94"/>
      <c r="F38" s="94"/>
      <c r="G38" s="94"/>
      <c r="H38" s="94"/>
      <c r="I38" s="94"/>
      <c r="J38" s="95"/>
      <c r="K38" s="93"/>
      <c r="L38" s="93"/>
      <c r="M38" s="93"/>
    </row>
    <row r="39" spans="1:13" ht="15.75">
      <c r="A39" s="77"/>
      <c r="B39" s="78" t="s">
        <v>10</v>
      </c>
      <c r="C39" s="78" t="s">
        <v>11</v>
      </c>
      <c r="D39" s="78" t="s">
        <v>12</v>
      </c>
      <c r="E39" s="78" t="s">
        <v>13</v>
      </c>
      <c r="F39" s="78" t="s">
        <v>14</v>
      </c>
      <c r="G39" s="78" t="s">
        <v>15</v>
      </c>
      <c r="H39" s="78" t="s">
        <v>16</v>
      </c>
      <c r="I39" s="78" t="s">
        <v>17</v>
      </c>
      <c r="J39" s="78" t="s">
        <v>18</v>
      </c>
      <c r="K39" s="78" t="s">
        <v>19</v>
      </c>
      <c r="L39" s="78" t="s">
        <v>20</v>
      </c>
      <c r="M39" s="79" t="s">
        <v>21</v>
      </c>
    </row>
    <row r="40" spans="1:13">
      <c r="A40" s="8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</row>
    <row r="41" spans="1:13" ht="15.75">
      <c r="A41" s="83" t="s">
        <v>33</v>
      </c>
      <c r="B41" s="87"/>
      <c r="C41" s="87"/>
      <c r="D41" s="85"/>
      <c r="E41" s="85"/>
      <c r="F41" s="85"/>
      <c r="G41" s="106"/>
      <c r="H41" s="106"/>
      <c r="I41" s="106"/>
      <c r="J41" s="106"/>
      <c r="K41" s="106"/>
      <c r="L41" s="106"/>
      <c r="M41" s="86"/>
    </row>
    <row r="42" spans="1:13" ht="15.75">
      <c r="A42" s="84" t="s">
        <v>6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</row>
    <row r="43" spans="1:13" ht="15.75">
      <c r="A43" s="84" t="s">
        <v>7</v>
      </c>
      <c r="B43" s="85">
        <f>+'Vocational 05-06 (Original)'!B33</f>
        <v>117455</v>
      </c>
      <c r="C43" s="85">
        <f>+'Vocational 05-06 (Original)'!C33</f>
        <v>331054</v>
      </c>
      <c r="D43" s="85">
        <f>+'Vocational 05-06 (Original)'!D33</f>
        <v>971851</v>
      </c>
      <c r="E43" s="85">
        <f>+'Vocational 05-06 (Original)'!E33</f>
        <v>1399049</v>
      </c>
      <c r="F43" s="85">
        <f>+'Vocational 05-06 (Original)'!F33</f>
        <v>1826247</v>
      </c>
      <c r="G43" s="85">
        <f>+'Vocational 05-06 (Original)'!G33</f>
        <v>2253445</v>
      </c>
      <c r="H43" s="85">
        <f>+'Vocational 05-06 (Original)'!H33</f>
        <v>2627243</v>
      </c>
      <c r="I43" s="85">
        <f>+'Vocational 05-06 (Original)'!I33</f>
        <v>3054441</v>
      </c>
      <c r="J43" s="85">
        <f>+'Vocational 05-06 (Original)'!J33</f>
        <v>3695238</v>
      </c>
      <c r="K43" s="85">
        <f>+'Vocational 05-06 (Original)'!K33</f>
        <v>4069036</v>
      </c>
      <c r="L43" s="85">
        <f>+'Vocational 05-06 (Original)'!L33</f>
        <v>4496234</v>
      </c>
      <c r="M43" s="86">
        <v>5339974</v>
      </c>
    </row>
    <row r="44" spans="1:13" ht="15.75">
      <c r="A44" s="84" t="s">
        <v>8</v>
      </c>
      <c r="B44" s="85">
        <f>+'Vocational 05-06 (Original)'!B34</f>
        <v>149678</v>
      </c>
      <c r="C44" s="85">
        <f>+'Vocational 05-06 (Original)'!C34</f>
        <v>613111.5749719505</v>
      </c>
      <c r="D44" s="85">
        <f>+'Vocational 05-06 (Original)'!D34</f>
        <v>1056344.7209262017</v>
      </c>
      <c r="E44" s="85">
        <f>+'Vocational 05-06 (Original)'!E34</f>
        <v>1532565.03972657</v>
      </c>
      <c r="F44" s="85">
        <f>+'Vocational 05-06 (Original)'!F34</f>
        <v>2030416.3094311927</v>
      </c>
      <c r="G44" s="85">
        <f>+'Vocational 05-06 (Original)'!G34</f>
        <v>3629043.0000350201</v>
      </c>
      <c r="H44" s="85">
        <f>+'Vocational 05-06 (Original)'!H34</f>
        <v>4103843.5182639523</v>
      </c>
      <c r="I44" s="85">
        <f>+'Vocational 05-06 (Original)'!I34</f>
        <v>4536681.8906264063</v>
      </c>
      <c r="J44" s="85">
        <f>+'Vocational 05-06 (Original)'!J34</f>
        <v>5027837.9439545795</v>
      </c>
      <c r="K44" s="85">
        <f>+'Vocational 05-06 (Original)'!K34</f>
        <v>5546562.7920833817</v>
      </c>
      <c r="L44" s="85">
        <f>+'Vocational 05-06 (Original)'!L34</f>
        <v>6320410.8518863134</v>
      </c>
      <c r="M44" s="86">
        <f>M46-M43</f>
        <v>7385485</v>
      </c>
    </row>
    <row r="45" spans="1:13">
      <c r="A45" s="88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6"/>
    </row>
    <row r="46" spans="1:13" ht="15.75">
      <c r="A46" s="84" t="s">
        <v>5</v>
      </c>
      <c r="B46" s="1">
        <f>+B43+B44</f>
        <v>267133</v>
      </c>
      <c r="C46" s="1">
        <f t="shared" ref="C46:L46" si="5">+C44+C43</f>
        <v>944165.5749719505</v>
      </c>
      <c r="D46" s="1">
        <f t="shared" si="5"/>
        <v>2028195.7209262017</v>
      </c>
      <c r="E46" s="1">
        <f t="shared" si="5"/>
        <v>2931614.0397265702</v>
      </c>
      <c r="F46" s="1">
        <f t="shared" si="5"/>
        <v>3856663.3094311925</v>
      </c>
      <c r="G46" s="1">
        <f t="shared" si="5"/>
        <v>5882488.0000350196</v>
      </c>
      <c r="H46" s="1">
        <f t="shared" si="5"/>
        <v>6731086.5182639528</v>
      </c>
      <c r="I46" s="1">
        <f t="shared" si="5"/>
        <v>7591122.8906264063</v>
      </c>
      <c r="J46" s="1">
        <f t="shared" si="5"/>
        <v>8723075.9439545795</v>
      </c>
      <c r="K46" s="1">
        <f t="shared" si="5"/>
        <v>9615598.7920833826</v>
      </c>
      <c r="L46" s="1">
        <f t="shared" si="5"/>
        <v>10816644.851886313</v>
      </c>
      <c r="M46" s="2">
        <v>12725459</v>
      </c>
    </row>
    <row r="47" spans="1:13" ht="15.75">
      <c r="A47" s="8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13" ht="15.75">
      <c r="A48" s="8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</row>
    <row r="49" spans="1:13" ht="15.75">
      <c r="A49" s="52" t="s">
        <v>36</v>
      </c>
      <c r="B49" s="1"/>
      <c r="C49" s="1"/>
      <c r="D49" s="1"/>
      <c r="E49" s="101"/>
      <c r="F49" s="101"/>
      <c r="G49" s="101"/>
      <c r="H49" s="1"/>
      <c r="I49" s="1"/>
      <c r="J49" s="1"/>
      <c r="K49" s="1"/>
      <c r="L49" s="1"/>
      <c r="M49" s="2"/>
    </row>
    <row r="50" spans="1:13" ht="15.75">
      <c r="A50" s="84" t="s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15.75">
      <c r="A51" s="84" t="s">
        <v>7</v>
      </c>
      <c r="B51" s="85">
        <f t="shared" ref="B51:G52" si="6">+B59</f>
        <v>117455</v>
      </c>
      <c r="C51" s="85">
        <f t="shared" si="6"/>
        <v>264762</v>
      </c>
      <c r="D51" s="85">
        <f t="shared" si="6"/>
        <v>867517</v>
      </c>
      <c r="E51" s="85">
        <f t="shared" si="6"/>
        <v>1279176</v>
      </c>
      <c r="F51" s="85">
        <f t="shared" si="6"/>
        <v>1691509</v>
      </c>
      <c r="G51" s="85">
        <f t="shared" si="6"/>
        <v>2096969</v>
      </c>
      <c r="H51" s="85">
        <v>2501308</v>
      </c>
      <c r="I51" s="85">
        <v>2922636</v>
      </c>
      <c r="J51" s="85">
        <v>3554626</v>
      </c>
      <c r="K51" s="85">
        <v>3923288</v>
      </c>
      <c r="L51" s="85">
        <v>4344615</v>
      </c>
      <c r="M51" s="86">
        <v>5266590</v>
      </c>
    </row>
    <row r="52" spans="1:13" ht="15.75">
      <c r="A52" s="84" t="s">
        <v>8</v>
      </c>
      <c r="B52" s="85">
        <f t="shared" si="6"/>
        <v>149678</v>
      </c>
      <c r="C52" s="85">
        <f t="shared" si="6"/>
        <v>466623</v>
      </c>
      <c r="D52" s="85">
        <f t="shared" si="6"/>
        <v>1304132</v>
      </c>
      <c r="E52" s="85">
        <f t="shared" si="6"/>
        <v>1721110</v>
      </c>
      <c r="F52" s="85">
        <f t="shared" si="6"/>
        <v>2130650</v>
      </c>
      <c r="G52" s="85">
        <f t="shared" si="6"/>
        <v>2462610</v>
      </c>
      <c r="H52" s="85">
        <f>+M52*53%</f>
        <v>4430564.1500000004</v>
      </c>
      <c r="I52" s="85">
        <f>+M52*59%</f>
        <v>4932137.45</v>
      </c>
      <c r="J52" s="85">
        <f>+M52*60%</f>
        <v>5015733</v>
      </c>
      <c r="K52" s="85">
        <f>+M52*72%</f>
        <v>6018879.5999999996</v>
      </c>
      <c r="L52" s="85">
        <f>+M52*80%</f>
        <v>6687644</v>
      </c>
      <c r="M52" s="86">
        <f>+M54-M51</f>
        <v>8359555</v>
      </c>
    </row>
    <row r="53" spans="1:13">
      <c r="A53" s="88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6"/>
    </row>
    <row r="54" spans="1:13" ht="15.75">
      <c r="A54" s="84" t="s">
        <v>5</v>
      </c>
      <c r="B54" s="1">
        <f t="shared" ref="B54:L54" si="7">SUM(B51:B53)</f>
        <v>267133</v>
      </c>
      <c r="C54" s="1">
        <f t="shared" si="7"/>
        <v>731385</v>
      </c>
      <c r="D54" s="1">
        <f t="shared" si="7"/>
        <v>2171649</v>
      </c>
      <c r="E54" s="1">
        <f t="shared" si="7"/>
        <v>3000286</v>
      </c>
      <c r="F54" s="1">
        <f t="shared" si="7"/>
        <v>3822159</v>
      </c>
      <c r="G54" s="1">
        <f t="shared" si="7"/>
        <v>4559579</v>
      </c>
      <c r="H54" s="1">
        <f t="shared" si="7"/>
        <v>6931872.1500000004</v>
      </c>
      <c r="I54" s="1">
        <f t="shared" si="7"/>
        <v>7854773.4500000002</v>
      </c>
      <c r="J54" s="1">
        <f t="shared" si="7"/>
        <v>8570359</v>
      </c>
      <c r="K54" s="1">
        <f t="shared" si="7"/>
        <v>9942167.5999999996</v>
      </c>
      <c r="L54" s="1">
        <f t="shared" si="7"/>
        <v>11032259</v>
      </c>
      <c r="M54" s="2">
        <v>13626145</v>
      </c>
    </row>
    <row r="55" spans="1:13" ht="15.75">
      <c r="A55" s="8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</row>
    <row r="56" spans="1:13" ht="15.75">
      <c r="A56" s="8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</row>
    <row r="57" spans="1:13" ht="15.75">
      <c r="A57" s="52" t="s">
        <v>35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6"/>
    </row>
    <row r="58" spans="1:13" ht="15.75">
      <c r="A58" s="84" t="s">
        <v>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6"/>
    </row>
    <row r="59" spans="1:13" ht="15.75">
      <c r="A59" s="84" t="s">
        <v>7</v>
      </c>
      <c r="B59" s="85">
        <v>117455</v>
      </c>
      <c r="C59" s="85">
        <v>264762</v>
      </c>
      <c r="D59" s="85">
        <f>200521+496+193940-13+208101-290+C59</f>
        <v>867517</v>
      </c>
      <c r="E59" s="85">
        <f>205487+206172+D59</f>
        <v>1279176</v>
      </c>
      <c r="F59" s="85">
        <f>206046+106+206181+E59</f>
        <v>1691509</v>
      </c>
      <c r="G59" s="85">
        <f>202007+53+203400+F59</f>
        <v>2096969</v>
      </c>
      <c r="H59" s="85">
        <f>193676+200914+G59</f>
        <v>2491559</v>
      </c>
      <c r="I59" s="85"/>
      <c r="J59" s="85"/>
      <c r="K59" s="85"/>
      <c r="L59" s="85"/>
      <c r="M59" s="86"/>
    </row>
    <row r="60" spans="1:13" ht="15.75">
      <c r="A60" s="84" t="s">
        <v>8</v>
      </c>
      <c r="B60" s="85">
        <v>149678</v>
      </c>
      <c r="C60" s="85">
        <v>466623</v>
      </c>
      <c r="D60" s="85">
        <v>1304132</v>
      </c>
      <c r="E60" s="85">
        <v>1721110</v>
      </c>
      <c r="F60" s="85">
        <v>2130650</v>
      </c>
      <c r="G60" s="85">
        <f>+G62-G59</f>
        <v>2462610</v>
      </c>
      <c r="H60" s="85">
        <f>+H62-H59</f>
        <v>3988800</v>
      </c>
      <c r="I60" s="85"/>
      <c r="J60" s="85"/>
      <c r="K60" s="85"/>
      <c r="L60" s="85"/>
      <c r="M60" s="86"/>
    </row>
    <row r="61" spans="1:13">
      <c r="A61" s="88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</row>
    <row r="62" spans="1:13" ht="16.5" thickBot="1">
      <c r="A62" s="92" t="s">
        <v>5</v>
      </c>
      <c r="B62" s="3">
        <f>SUM(B59:B61)</f>
        <v>267133</v>
      </c>
      <c r="C62" s="3">
        <f>SUM(C59:C61)</f>
        <v>731385</v>
      </c>
      <c r="D62" s="3">
        <f>SUM(D59:D61)</f>
        <v>2171649</v>
      </c>
      <c r="E62" s="3">
        <f>SUM(E59:E61)</f>
        <v>3000286</v>
      </c>
      <c r="F62" s="3">
        <f>SUM(F59:F61)</f>
        <v>3822159</v>
      </c>
      <c r="G62" s="3">
        <v>4559579</v>
      </c>
      <c r="H62" s="3">
        <v>6480359</v>
      </c>
      <c r="I62" s="3">
        <v>0</v>
      </c>
      <c r="J62" s="3">
        <v>0</v>
      </c>
      <c r="K62" s="3">
        <v>0</v>
      </c>
      <c r="L62" s="3">
        <v>0</v>
      </c>
      <c r="M62" s="4">
        <v>0</v>
      </c>
    </row>
    <row r="66" spans="1:13" ht="15.7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1:13" ht="15.7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1:13" ht="15.7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1:13" ht="15.75">
      <c r="A69" s="76"/>
      <c r="B69" s="76"/>
      <c r="C69" s="75"/>
      <c r="D69" s="75"/>
      <c r="E69" s="76"/>
      <c r="F69" s="76"/>
      <c r="G69" s="76"/>
      <c r="H69" s="76"/>
      <c r="I69" s="76"/>
      <c r="J69" s="76"/>
      <c r="K69" s="76"/>
      <c r="L69" s="76"/>
      <c r="M69" s="76"/>
    </row>
    <row r="70" spans="1:13" ht="15.75">
      <c r="A70" s="76"/>
      <c r="B70" s="76"/>
      <c r="C70" s="75"/>
      <c r="D70" s="75"/>
      <c r="E70" s="76"/>
      <c r="F70" s="76"/>
      <c r="G70" s="76"/>
      <c r="H70" s="76"/>
      <c r="I70" s="76"/>
      <c r="J70" s="76"/>
      <c r="K70" s="76"/>
      <c r="L70" s="76"/>
      <c r="M70" s="76"/>
    </row>
    <row r="71" spans="1:13" ht="15.7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ht="15.7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9" spans="1:13">
      <c r="I79" s="69" t="s">
        <v>24</v>
      </c>
    </row>
    <row r="80" spans="1:13" ht="15.75">
      <c r="A80" s="75"/>
      <c r="B80" s="97"/>
      <c r="C80" s="97"/>
      <c r="D80" s="97"/>
      <c r="E80" s="97"/>
      <c r="F80" s="97"/>
      <c r="G80" s="97"/>
      <c r="H80" s="97"/>
    </row>
    <row r="81" spans="1:8" ht="15.75">
      <c r="A81" s="75"/>
      <c r="B81" s="97"/>
      <c r="C81" s="97"/>
      <c r="D81" s="97"/>
      <c r="E81" s="97"/>
      <c r="F81" s="97"/>
      <c r="G81" s="97"/>
      <c r="H81" s="97"/>
    </row>
    <row r="82" spans="1:8" ht="15.75">
      <c r="A82" s="75"/>
      <c r="B82" s="97"/>
      <c r="C82" s="97"/>
      <c r="D82" s="97"/>
      <c r="E82" s="97"/>
      <c r="F82" s="97"/>
      <c r="G82" s="97"/>
      <c r="H82" s="97"/>
    </row>
    <row r="83" spans="1:8" ht="15.75">
      <c r="A83" s="75"/>
      <c r="B83" s="97"/>
      <c r="C83" s="97"/>
      <c r="D83" s="97"/>
      <c r="E83" s="97"/>
      <c r="F83" s="97"/>
      <c r="G83" s="97"/>
      <c r="H83" s="97"/>
    </row>
    <row r="84" spans="1:8" ht="15.75">
      <c r="A84" s="75"/>
      <c r="B84" s="97"/>
      <c r="C84" s="97"/>
      <c r="D84" s="97"/>
      <c r="E84" s="97"/>
      <c r="F84" s="97"/>
      <c r="G84" s="97"/>
      <c r="H84" s="97"/>
    </row>
    <row r="85" spans="1:8" ht="15.75">
      <c r="A85" s="75"/>
      <c r="B85" s="97"/>
      <c r="C85" s="97"/>
      <c r="D85" s="97"/>
      <c r="E85" s="97"/>
      <c r="F85" s="97"/>
      <c r="G85" s="97"/>
      <c r="H85" s="97"/>
    </row>
    <row r="86" spans="1:8" ht="15.75">
      <c r="A86" s="75"/>
      <c r="B86" s="97"/>
      <c r="C86" s="97"/>
      <c r="D86" s="97"/>
      <c r="E86" s="97"/>
      <c r="F86" s="97"/>
      <c r="G86" s="97"/>
      <c r="H86" s="97"/>
    </row>
    <row r="87" spans="1:8" ht="15.75">
      <c r="A87" s="75"/>
      <c r="B87" s="97"/>
      <c r="C87" s="97"/>
      <c r="D87" s="97"/>
      <c r="E87" s="97"/>
      <c r="F87" s="97"/>
      <c r="G87" s="97"/>
      <c r="H87" s="97"/>
    </row>
    <row r="88" spans="1:8" ht="15.75">
      <c r="A88" s="75"/>
      <c r="B88" s="97"/>
      <c r="C88" s="97"/>
      <c r="D88" s="97"/>
      <c r="E88" s="97"/>
      <c r="F88" s="97"/>
      <c r="G88" s="97"/>
      <c r="H88" s="97"/>
    </row>
    <row r="89" spans="1:8" ht="15.75">
      <c r="A89" s="75"/>
      <c r="B89" s="97"/>
      <c r="C89" s="97"/>
      <c r="D89" s="97"/>
      <c r="E89" s="97"/>
      <c r="F89" s="97"/>
      <c r="G89" s="97"/>
      <c r="H89" s="97"/>
    </row>
    <row r="90" spans="1:8" ht="15.75">
      <c r="A90" s="75"/>
      <c r="B90" s="97"/>
      <c r="C90" s="97"/>
      <c r="D90" s="97"/>
      <c r="E90" s="97"/>
      <c r="F90" s="97"/>
      <c r="G90" s="97"/>
      <c r="H90" s="97"/>
    </row>
    <row r="91" spans="1:8" ht="15.75">
      <c r="A91" s="75"/>
      <c r="B91" s="97"/>
      <c r="C91" s="97"/>
      <c r="D91" s="97"/>
      <c r="E91" s="97"/>
      <c r="F91" s="97"/>
      <c r="G91" s="97"/>
      <c r="H91" s="97"/>
    </row>
    <row r="92" spans="1:8" ht="15.75">
      <c r="A92" s="75"/>
      <c r="B92" s="97"/>
      <c r="C92" s="97"/>
      <c r="D92" s="97"/>
      <c r="E92" s="97"/>
      <c r="F92" s="97"/>
      <c r="G92" s="97"/>
      <c r="H92" s="97"/>
    </row>
    <row r="114" spans="1:8" ht="15.75">
      <c r="A114" s="75"/>
      <c r="B114" s="75"/>
      <c r="C114" s="76"/>
      <c r="D114" s="76"/>
      <c r="E114" s="76"/>
    </row>
    <row r="116" spans="1:8" ht="15.75">
      <c r="A116" s="75"/>
      <c r="B116" s="75"/>
      <c r="C116" s="75"/>
      <c r="D116" s="75"/>
      <c r="E116" s="75"/>
      <c r="F116" s="75"/>
      <c r="G116" s="76"/>
      <c r="H116" s="76"/>
    </row>
    <row r="119" spans="1:8" ht="15.75">
      <c r="A119" s="75"/>
      <c r="B119" s="75"/>
      <c r="C119" s="75"/>
      <c r="D119" s="76"/>
    </row>
    <row r="121" spans="1:8" ht="15.75">
      <c r="A121" s="75"/>
      <c r="C121" s="76" t="s">
        <v>9</v>
      </c>
      <c r="D121" s="76"/>
      <c r="E121" s="76"/>
      <c r="F121" s="98">
        <v>9716552</v>
      </c>
    </row>
  </sheetData>
  <phoneticPr fontId="13" type="noConversion"/>
  <printOptions horizontalCentered="1" verticalCentered="1"/>
  <pageMargins left="0.5" right="0.5" top="0.5" bottom="0.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56</vt:i4>
      </vt:variant>
    </vt:vector>
  </HeadingPairs>
  <TitlesOfParts>
    <vt:vector size="68" baseType="lpstr">
      <vt:lpstr>General 04-05 (Template)</vt:lpstr>
      <vt:lpstr>General 05-06 (Original)</vt:lpstr>
      <vt:lpstr>Special 04-05 (template)</vt:lpstr>
      <vt:lpstr>Special 05-06 (Original)</vt:lpstr>
      <vt:lpstr>Vocational 04-05 (template)</vt:lpstr>
      <vt:lpstr>Vocational 05-06 (Original)</vt:lpstr>
      <vt:lpstr>General 05-06 (12-31)</vt:lpstr>
      <vt:lpstr>Special 05-06 (12-31)</vt:lpstr>
      <vt:lpstr>Vocational 05-06 (12-31)</vt:lpstr>
      <vt:lpstr>General 05-06 (4-30)</vt:lpstr>
      <vt:lpstr>Special 05-06 (4-30)</vt:lpstr>
      <vt:lpstr>Vocational 04-05 (4-30)</vt:lpstr>
      <vt:lpstr>'General 04-05 (Template)'!ACTREV</vt:lpstr>
      <vt:lpstr>'General 05-06 (12-31)'!ACTREV</vt:lpstr>
      <vt:lpstr>'General 05-06 (4-30)'!ACTREV</vt:lpstr>
      <vt:lpstr>'General 05-06 (Original)'!ACTREV</vt:lpstr>
      <vt:lpstr>'Special 04-05 (template)'!ACTREV</vt:lpstr>
      <vt:lpstr>'Special 05-06 (12-31)'!ACTREV</vt:lpstr>
      <vt:lpstr>'Special 05-06 (4-30)'!ACTREV</vt:lpstr>
      <vt:lpstr>'Special 05-06 (Original)'!ACTREV</vt:lpstr>
      <vt:lpstr>'Vocational 04-05 (4-30)'!ACTREV</vt:lpstr>
      <vt:lpstr>'Vocational 04-05 (template)'!ACTREV</vt:lpstr>
      <vt:lpstr>'Vocational 05-06 (12-31)'!ACTREV</vt:lpstr>
      <vt:lpstr>'Vocational 05-06 (Original)'!ACTREV</vt:lpstr>
      <vt:lpstr>'General 04-05 (Template)'!ACTUAL</vt:lpstr>
      <vt:lpstr>'General 05-06 (12-31)'!ACTUAL</vt:lpstr>
      <vt:lpstr>'General 05-06 (4-30)'!ACTUAL</vt:lpstr>
      <vt:lpstr>'General 05-06 (Original)'!ACTUAL</vt:lpstr>
      <vt:lpstr>'Special 04-05 (template)'!ACTUAL</vt:lpstr>
      <vt:lpstr>'Special 05-06 (12-31)'!ACTUAL</vt:lpstr>
      <vt:lpstr>'Special 05-06 (4-30)'!ACTUAL</vt:lpstr>
      <vt:lpstr>'Special 05-06 (Original)'!ACTUAL</vt:lpstr>
      <vt:lpstr>'General 04-05 (Template)'!ORIGINAL</vt:lpstr>
      <vt:lpstr>'General 05-06 (12-31)'!ORIGINAL</vt:lpstr>
      <vt:lpstr>'General 05-06 (4-30)'!ORIGINAL</vt:lpstr>
      <vt:lpstr>'General 05-06 (Original)'!ORIGINAL</vt:lpstr>
      <vt:lpstr>'Special 04-05 (template)'!ORIGINAL</vt:lpstr>
      <vt:lpstr>'Special 05-06 (12-31)'!ORIGINAL</vt:lpstr>
      <vt:lpstr>'Special 05-06 (4-30)'!ORIGINAL</vt:lpstr>
      <vt:lpstr>'Special 05-06 (Original)'!ORIGINAL</vt:lpstr>
      <vt:lpstr>'Vocational 04-05 (4-30)'!ORIGINAL</vt:lpstr>
      <vt:lpstr>'Vocational 04-05 (template)'!ORIGINAL</vt:lpstr>
      <vt:lpstr>'Vocational 05-06 (12-31)'!ORIGINAL</vt:lpstr>
      <vt:lpstr>'Vocational 05-06 (Original)'!ORIGINAL</vt:lpstr>
      <vt:lpstr>'General 04-05 (Template)'!ORIGREV</vt:lpstr>
      <vt:lpstr>'General 05-06 (12-31)'!ORIGREV</vt:lpstr>
      <vt:lpstr>'General 05-06 (4-30)'!ORIGREV</vt:lpstr>
      <vt:lpstr>'General 05-06 (Original)'!ORIGREV</vt:lpstr>
      <vt:lpstr>'Special 04-05 (template)'!ORIGREV</vt:lpstr>
      <vt:lpstr>'Special 05-06 (12-31)'!ORIGREV</vt:lpstr>
      <vt:lpstr>'Special 05-06 (4-30)'!ORIGREV</vt:lpstr>
      <vt:lpstr>'Special 05-06 (Original)'!ORIGREV</vt:lpstr>
      <vt:lpstr>'Vocational 04-05 (4-30)'!ORIGREV</vt:lpstr>
      <vt:lpstr>'Vocational 04-05 (template)'!ORIGREV</vt:lpstr>
      <vt:lpstr>'Vocational 05-06 (12-31)'!ORIGREV</vt:lpstr>
      <vt:lpstr>'Vocational 05-06 (Original)'!ORIGREV</vt:lpstr>
      <vt:lpstr>'General 04-05 (Template)'!Print_Area</vt:lpstr>
      <vt:lpstr>'General 05-06 (12-31)'!Print_Area</vt:lpstr>
      <vt:lpstr>'General 05-06 (4-30)'!Print_Area</vt:lpstr>
      <vt:lpstr>'General 05-06 (Original)'!Print_Area</vt:lpstr>
      <vt:lpstr>'Special 04-05 (template)'!Print_Area</vt:lpstr>
      <vt:lpstr>'Special 05-06 (12-31)'!Print_Area</vt:lpstr>
      <vt:lpstr>'Special 05-06 (4-30)'!Print_Area</vt:lpstr>
      <vt:lpstr>'Special 05-06 (Original)'!Print_Area</vt:lpstr>
      <vt:lpstr>'Vocational 04-05 (4-30)'!Print_Area</vt:lpstr>
      <vt:lpstr>'Vocational 04-05 (template)'!Print_Area</vt:lpstr>
      <vt:lpstr>'Vocational 05-06 (12-31)'!Print_Area</vt:lpstr>
      <vt:lpstr>'Vocational 05-06 (Original)'!Print_Area</vt:lpstr>
    </vt:vector>
  </TitlesOfParts>
  <Company>OAISD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</cp:lastModifiedBy>
  <cp:lastPrinted>2006-02-03T19:36:59Z</cp:lastPrinted>
  <dcterms:created xsi:type="dcterms:W3CDTF">2003-08-07T14:50:13Z</dcterms:created>
  <dcterms:modified xsi:type="dcterms:W3CDTF">2013-03-07T15:35:14Z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-873679618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