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340" windowHeight="6030"/>
  </bookViews>
  <sheets>
    <sheet name="Worksheet" sheetId="1" r:id="rId1"/>
    <sheet name="Sheet2" sheetId="11" r:id="rId2"/>
    <sheet name="Summary" sheetId="3" r:id="rId3"/>
    <sheet name="Sheet1" sheetId="10" r:id="rId4"/>
    <sheet name="Compensation" sheetId="2" r:id="rId5"/>
    <sheet name="Negotiations Grid" sheetId="9" r:id="rId6"/>
    <sheet name="PPFG" sheetId="8" r:id="rId7"/>
    <sheet name="Future Needs" sheetId="7" r:id="rId8"/>
    <sheet name="Wish List" sheetId="5" r:id="rId9"/>
    <sheet name="Class Cuts" sheetId="6" r:id="rId10"/>
    <sheet name="Athletics" sheetId="4" r:id="rId11"/>
  </sheets>
  <externalReferences>
    <externalReference r:id="rId12"/>
    <externalReference r:id="rId13"/>
    <externalReference r:id="rId14"/>
  </externalReferences>
  <definedNames>
    <definedName name="_xlnm.Print_Area" localSheetId="9">'Class Cuts'!$A$1:$C$19</definedName>
    <definedName name="_xlnm.Print_Area" localSheetId="4">Compensation!$A$1:$D$23</definedName>
    <definedName name="_xlnm.Print_Area" localSheetId="5">'Negotiations Grid'!$A$1:$E$18</definedName>
    <definedName name="_xlnm.Print_Area" localSheetId="2">Summary!$A$1:$E$14</definedName>
    <definedName name="_xlnm.Print_Area" localSheetId="8">'Wish List'!$A$1:$C$11</definedName>
    <definedName name="_xlnm.Print_Area" localSheetId="0">Worksheet!$A$1:$F$52</definedName>
  </definedNames>
  <calcPr calcId="145621"/>
</workbook>
</file>

<file path=xl/calcChain.xml><?xml version="1.0" encoding="utf-8"?>
<calcChain xmlns="http://schemas.openxmlformats.org/spreadsheetml/2006/main">
  <c r="F27" i="1" l="1"/>
  <c r="F14" i="1"/>
  <c r="F33" i="1"/>
  <c r="F35" i="1"/>
  <c r="G35" i="1" s="1"/>
  <c r="F18" i="1"/>
  <c r="I13" i="1"/>
  <c r="I20" i="1" s="1"/>
  <c r="I22" i="1" s="1"/>
  <c r="I29" i="1"/>
  <c r="D11" i="11"/>
  <c r="I6" i="1" s="1"/>
  <c r="D9" i="11"/>
  <c r="F29" i="1"/>
  <c r="F40" i="1" s="1"/>
  <c r="F42" i="1" s="1"/>
  <c r="E9" i="3" s="1"/>
  <c r="D10" i="10"/>
  <c r="D9" i="10"/>
  <c r="D8" i="10"/>
  <c r="D7" i="10"/>
  <c r="B11" i="10"/>
  <c r="D11" i="10" s="1"/>
  <c r="F10" i="1"/>
  <c r="F13" i="1"/>
  <c r="F20" i="1" s="1"/>
  <c r="F22" i="1" s="1"/>
  <c r="D17" i="2"/>
  <c r="D19" i="2"/>
  <c r="D20" i="2" s="1"/>
  <c r="D21" i="2"/>
  <c r="E12" i="9"/>
  <c r="E8" i="9"/>
  <c r="E14" i="9"/>
  <c r="C12" i="9"/>
  <c r="E10" i="9"/>
  <c r="E15" i="9"/>
  <c r="D9" i="2"/>
  <c r="D14" i="2"/>
  <c r="B7" i="5"/>
  <c r="C7" i="5" s="1"/>
  <c r="C8" i="5" s="1"/>
  <c r="C9" i="5" s="1"/>
  <c r="C10" i="8"/>
  <c r="D12" i="4"/>
  <c r="D13" i="4" s="1"/>
  <c r="D14" i="4"/>
  <c r="F19" i="4"/>
  <c r="C16" i="6"/>
  <c r="C7" i="6"/>
  <c r="F7" i="4"/>
  <c r="F21" i="4" l="1"/>
  <c r="I39" i="1" s="1"/>
  <c r="I40" i="1" s="1"/>
  <c r="I42" i="1" s="1"/>
  <c r="C9" i="3" s="1"/>
  <c r="F6" i="1"/>
  <c r="C6" i="3"/>
  <c r="C8" i="3"/>
  <c r="C10" i="3" s="1"/>
  <c r="E8" i="3"/>
  <c r="E10" i="3" s="1"/>
  <c r="F44" i="1"/>
  <c r="F15" i="4"/>
  <c r="D22" i="2"/>
  <c r="D24" i="2" s="1"/>
  <c r="D16" i="11"/>
  <c r="D17" i="11" s="1"/>
  <c r="F46" i="1" l="1"/>
  <c r="F48" i="1" s="1"/>
  <c r="F50" i="1" s="1"/>
  <c r="I44" i="1"/>
  <c r="I46" i="1" s="1"/>
  <c r="I48" i="1" s="1"/>
  <c r="I50" i="1" s="1"/>
  <c r="C12" i="3"/>
  <c r="C13" i="3" s="1"/>
  <c r="E6" i="3"/>
  <c r="E12" i="3" s="1"/>
  <c r="E13" i="3" s="1"/>
</calcChain>
</file>

<file path=xl/sharedStrings.xml><?xml version="1.0" encoding="utf-8"?>
<sst xmlns="http://schemas.openxmlformats.org/spreadsheetml/2006/main" count="169" uniqueCount="121">
  <si>
    <t>2004-05 Revenues</t>
  </si>
  <si>
    <t>Bus Sale</t>
  </si>
  <si>
    <t>Enrollment</t>
  </si>
  <si>
    <t>Adjustments:</t>
  </si>
  <si>
    <t>2004-05 Expenditures</t>
  </si>
  <si>
    <t>MPSERS</t>
  </si>
  <si>
    <t>2005-06 Estimated Revenues</t>
  </si>
  <si>
    <t>Total GF Wages</t>
  </si>
  <si>
    <t>Increase</t>
  </si>
  <si>
    <t>x</t>
  </si>
  <si>
    <t>Insurance</t>
  </si>
  <si>
    <t>Total Premiums</t>
  </si>
  <si>
    <t>Special Education - Transportation (@ 70.4%)</t>
  </si>
  <si>
    <t>Special Education - Speech (@ 28.6%)</t>
  </si>
  <si>
    <t>Reserve: Adult Education</t>
  </si>
  <si>
    <t>Wage / Salary Increases</t>
  </si>
  <si>
    <t>Estimated Total Wages &amp; Salaries</t>
  </si>
  <si>
    <t>FICA (@ 7.65%)</t>
  </si>
  <si>
    <t>MPSERS (@ 16.34%)</t>
  </si>
  <si>
    <t>Revenues</t>
  </si>
  <si>
    <t>Expenditures</t>
  </si>
  <si>
    <t>-</t>
  </si>
  <si>
    <t>2005-06</t>
  </si>
  <si>
    <t>Compensation Worksheet</t>
  </si>
  <si>
    <t>Transportation</t>
  </si>
  <si>
    <t>Building Budgets</t>
  </si>
  <si>
    <t>Freeze</t>
  </si>
  <si>
    <t>Salaries</t>
  </si>
  <si>
    <t>% Increase</t>
  </si>
  <si>
    <t>Base Increase</t>
  </si>
  <si>
    <t>FICA (@7.65%)</t>
  </si>
  <si>
    <t>District Paid Insurance</t>
  </si>
  <si>
    <t>Textbook Adoptions</t>
  </si>
  <si>
    <t>Technology - Critical</t>
  </si>
  <si>
    <t>Further Budget Reductions</t>
  </si>
  <si>
    <t>FTE</t>
  </si>
  <si>
    <t>Group 1</t>
  </si>
  <si>
    <t>Total</t>
  </si>
  <si>
    <t>Reduce School Related Facility Use</t>
  </si>
  <si>
    <t>Reduce Extra-Curricular @ 30%</t>
  </si>
  <si>
    <t>Group 2</t>
  </si>
  <si>
    <t>Privatize Operational Services</t>
  </si>
  <si>
    <t>All Day / Alternate Day Kindergarten</t>
  </si>
  <si>
    <t>Eliminate MS Athletics (Interscholastic &amp; Intramural)</t>
  </si>
  <si>
    <t>Eliminate Remaining Transportation K-8</t>
  </si>
  <si>
    <t>Eliminate HS (9-12) Transportation</t>
  </si>
  <si>
    <t>Privatize Bus Mechanics</t>
  </si>
  <si>
    <t>TBD</t>
  </si>
  <si>
    <t>Initiative</t>
  </si>
  <si>
    <t>Cost</t>
  </si>
  <si>
    <t>Pending Needs</t>
  </si>
  <si>
    <t>Technology Replacement</t>
  </si>
  <si>
    <t>Bus Replacement (2)</t>
  </si>
  <si>
    <t>Textbooks</t>
  </si>
  <si>
    <t>+</t>
  </si>
  <si>
    <t>Total Adjustments:</t>
  </si>
  <si>
    <t>Total Compensation</t>
  </si>
  <si>
    <t>Labor Contracts / Wage Settlements</t>
  </si>
  <si>
    <t>Health Insurance</t>
  </si>
  <si>
    <t>MPSERS Increases</t>
  </si>
  <si>
    <t>Per Pupil Funding</t>
  </si>
  <si>
    <t>Buses</t>
  </si>
  <si>
    <t>Technology</t>
  </si>
  <si>
    <t>Major Variables for Future Consideration</t>
  </si>
  <si>
    <t>Deferred Instructional Expenses</t>
  </si>
  <si>
    <t>Band Uniforms and Instruments</t>
  </si>
  <si>
    <t>New Facility Operating Funds</t>
  </si>
  <si>
    <t>Foundation Grant Increase</t>
  </si>
  <si>
    <t>Increase in Health Insurance</t>
  </si>
  <si>
    <t>Increase in MPSERS Rate</t>
  </si>
  <si>
    <t>Funds Available</t>
  </si>
  <si>
    <t>PPFG</t>
  </si>
  <si>
    <t>Low</t>
  </si>
  <si>
    <t>Medium</t>
  </si>
  <si>
    <t>High</t>
  </si>
  <si>
    <t>Surplus</t>
  </si>
  <si>
    <t>Negotiations Decision Grid</t>
  </si>
  <si>
    <t>Assuming that MPSERS is a "given", there are 27 different possible combinations of outcomes.</t>
  </si>
  <si>
    <t>Plan</t>
  </si>
  <si>
    <t>EISD Special Ed Fund Balance Allocation</t>
  </si>
  <si>
    <t>Athletics - Existing / External Contracts</t>
  </si>
  <si>
    <t>External Contracts</t>
  </si>
  <si>
    <t>Sub Caller Reimbursement</t>
  </si>
  <si>
    <t>Ending Total Fund Balance - Total</t>
  </si>
  <si>
    <t>Beginning Fund Balance (@ 8.0%)</t>
  </si>
  <si>
    <t>Ending Total Fund Balance</t>
  </si>
  <si>
    <t>2005-06 Estimated Expenditures</t>
  </si>
  <si>
    <t>Foundation Grant</t>
  </si>
  <si>
    <t>Capital Outlay</t>
  </si>
  <si>
    <t>Operating Surplus (Deficit)</t>
  </si>
  <si>
    <t>2004-05</t>
  </si>
  <si>
    <t>Most Likely</t>
  </si>
  <si>
    <t>Budget</t>
  </si>
  <si>
    <t>Facility</t>
  </si>
  <si>
    <t>Actual</t>
  </si>
  <si>
    <t>Estimated</t>
  </si>
  <si>
    <t>Change</t>
  </si>
  <si>
    <t>Range: -110 to +100 = 210</t>
  </si>
  <si>
    <t>Financial Range: -$768,900 to +$699,000</t>
  </si>
  <si>
    <t>Ending Undesignated Fund Balance</t>
  </si>
  <si>
    <t>Special Education Contracted Services (Nurse &amp; ICT)</t>
  </si>
  <si>
    <t>Beginning Fund Balance - July 1, 2004</t>
  </si>
  <si>
    <t>Undesignated Fund Balance</t>
  </si>
  <si>
    <t>Designated Fund Balance - Band Uniforms</t>
  </si>
  <si>
    <t>Reserve for Adult Education</t>
  </si>
  <si>
    <t>Total Fund Balance - July 1, 2004</t>
  </si>
  <si>
    <t>Total Revenues</t>
  </si>
  <si>
    <t>Total Expenditures</t>
  </si>
  <si>
    <t>Total Fund Balance - June 30, 2005</t>
  </si>
  <si>
    <t>Ending Undesignated Fund Balance - June 30, 2005</t>
  </si>
  <si>
    <t>Reserve for Bus Replacement (3)</t>
  </si>
  <si>
    <t>2005-06 Estimated Beginning Total Fund Balance</t>
  </si>
  <si>
    <t>Natural Gas</t>
  </si>
  <si>
    <t>Diesel Fuel</t>
  </si>
  <si>
    <t>Electricity</t>
  </si>
  <si>
    <t>Buses (On Order)</t>
  </si>
  <si>
    <t>Enrollment Adjustment (32.34 additional students)</t>
  </si>
  <si>
    <t>Certified Staff Adjustments (See Teaching Positions)</t>
  </si>
  <si>
    <t>Non Certified Staff Adjustments</t>
  </si>
  <si>
    <t>Compensation Increases</t>
  </si>
  <si>
    <t>2005-06 Fiscal Plan (SAMPLE)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</si>
</sst>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</numFmts>
  <fonts count="2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</font>
    <font>
      <b/>
      <sz val="18"/>
      <name val="Arial"/>
      <family val="2"/>
    </font>
    <font>
      <b/>
      <sz val="28"/>
      <name val="Arial"/>
      <family val="2"/>
    </font>
    <font>
      <sz val="12"/>
      <name val="Arial"/>
    </font>
    <font>
      <b/>
      <sz val="12"/>
      <name val="Arial"/>
    </font>
    <font>
      <b/>
      <sz val="24"/>
      <name val="Arial"/>
      <family val="2"/>
    </font>
    <font>
      <b/>
      <sz val="14"/>
      <color indexed="9"/>
      <name val="Arial"/>
      <family val="2"/>
    </font>
    <font>
      <b/>
      <i/>
      <sz val="24"/>
      <color indexed="9"/>
      <name val="Arial"/>
      <family val="2"/>
    </font>
    <font>
      <sz val="14"/>
      <name val="Arial"/>
      <family val="2"/>
    </font>
    <font>
      <b/>
      <i/>
      <sz val="24"/>
      <name val="Arial"/>
      <family val="2"/>
    </font>
    <font>
      <b/>
      <sz val="18"/>
      <name val="Arial"/>
    </font>
    <font>
      <sz val="16"/>
      <name val="Arial"/>
    </font>
    <font>
      <b/>
      <sz val="16"/>
      <name val="Arial"/>
    </font>
    <font>
      <b/>
      <sz val="16"/>
      <name val="Arial"/>
      <family val="2"/>
    </font>
    <font>
      <sz val="16"/>
      <color indexed="9"/>
      <name val="Arial"/>
    </font>
    <font>
      <sz val="16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2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44" fontId="5" fillId="0" borderId="0" xfId="0" applyNumberFormat="1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44" fontId="10" fillId="0" borderId="0" xfId="2" applyFont="1"/>
    <xf numFmtId="0" fontId="11" fillId="2" borderId="0" xfId="0" applyFont="1" applyFill="1"/>
    <xf numFmtId="0" fontId="11" fillId="2" borderId="0" xfId="0" quotePrefix="1" applyFont="1" applyFill="1" applyAlignment="1">
      <alignment horizontal="right"/>
    </xf>
    <xf numFmtId="10" fontId="11" fillId="2" borderId="1" xfId="3" applyNumberFormat="1" applyFont="1" applyFill="1" applyBorder="1"/>
    <xf numFmtId="44" fontId="10" fillId="0" borderId="0" xfId="0" applyNumberFormat="1" applyFont="1"/>
    <xf numFmtId="43" fontId="10" fillId="0" borderId="0" xfId="1" applyFont="1" applyBorder="1"/>
    <xf numFmtId="43" fontId="10" fillId="0" borderId="0" xfId="1" applyFont="1"/>
    <xf numFmtId="43" fontId="10" fillId="0" borderId="1" xfId="1" applyFont="1" applyBorder="1"/>
    <xf numFmtId="43" fontId="0" fillId="0" borderId="0" xfId="1" applyFont="1"/>
    <xf numFmtId="0" fontId="0" fillId="0" borderId="0" xfId="0" quotePrefix="1" applyAlignment="1">
      <alignment horizontal="right"/>
    </xf>
    <xf numFmtId="43" fontId="0" fillId="0" borderId="0" xfId="0" applyNumberFormat="1"/>
    <xf numFmtId="44" fontId="2" fillId="0" borderId="0" xfId="2" applyFont="1"/>
    <xf numFmtId="10" fontId="2" fillId="2" borderId="1" xfId="3" applyNumberFormat="1" applyFont="1" applyFill="1" applyBorder="1"/>
    <xf numFmtId="43" fontId="0" fillId="0" borderId="1" xfId="0" applyNumberFormat="1" applyBorder="1"/>
    <xf numFmtId="43" fontId="2" fillId="0" borderId="0" xfId="0" applyNumberFormat="1" applyFont="1"/>
    <xf numFmtId="43" fontId="2" fillId="0" borderId="1" xfId="0" applyNumberFormat="1" applyFont="1" applyBorder="1"/>
    <xf numFmtId="44" fontId="2" fillId="2" borderId="0" xfId="0" applyNumberFormat="1" applyFont="1" applyFill="1"/>
    <xf numFmtId="0" fontId="4" fillId="0" borderId="0" xfId="0" applyFont="1" applyAlignment="1">
      <alignment horizontal="center"/>
    </xf>
    <xf numFmtId="0" fontId="15" fillId="0" borderId="0" xfId="0" applyFont="1"/>
    <xf numFmtId="168" fontId="4" fillId="2" borderId="2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8" fontId="4" fillId="3" borderId="2" xfId="1" applyNumberFormat="1" applyFont="1" applyFill="1" applyBorder="1"/>
    <xf numFmtId="0" fontId="4" fillId="3" borderId="2" xfId="0" applyFont="1" applyFill="1" applyBorder="1"/>
    <xf numFmtId="167" fontId="4" fillId="3" borderId="2" xfId="2" applyNumberFormat="1" applyFont="1" applyFill="1" applyBorder="1"/>
    <xf numFmtId="169" fontId="4" fillId="3" borderId="2" xfId="1" applyNumberFormat="1" applyFont="1" applyFill="1" applyBorder="1"/>
    <xf numFmtId="167" fontId="4" fillId="2" borderId="2" xfId="2" applyNumberFormat="1" applyFont="1" applyFill="1" applyBorder="1" applyAlignment="1">
      <alignment horizontal="center"/>
    </xf>
    <xf numFmtId="167" fontId="4" fillId="2" borderId="2" xfId="2" applyNumberFormat="1" applyFont="1" applyFill="1" applyBorder="1"/>
    <xf numFmtId="169" fontId="4" fillId="3" borderId="2" xfId="1" applyNumberFormat="1" applyFont="1" applyFill="1" applyBorder="1" applyAlignment="1">
      <alignment horizontal="center"/>
    </xf>
    <xf numFmtId="0" fontId="15" fillId="0" borderId="2" xfId="0" applyFont="1" applyBorder="1"/>
    <xf numFmtId="169" fontId="15" fillId="0" borderId="2" xfId="1" applyNumberFormat="1" applyFont="1" applyBorder="1"/>
    <xf numFmtId="167" fontId="15" fillId="0" borderId="2" xfId="2" applyNumberFormat="1" applyFont="1" applyBorder="1"/>
    <xf numFmtId="0" fontId="7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8" xfId="0" applyFont="1" applyFill="1" applyBorder="1"/>
    <xf numFmtId="44" fontId="2" fillId="3" borderId="9" xfId="2" applyFont="1" applyFill="1" applyBorder="1"/>
    <xf numFmtId="0" fontId="2" fillId="3" borderId="10" xfId="0" applyFont="1" applyFill="1" applyBorder="1"/>
    <xf numFmtId="0" fontId="2" fillId="3" borderId="0" xfId="0" quotePrefix="1" applyFont="1" applyFill="1" applyBorder="1" applyAlignment="1">
      <alignment horizontal="right"/>
    </xf>
    <xf numFmtId="43" fontId="2" fillId="3" borderId="11" xfId="1" applyFont="1" applyFill="1" applyBorder="1"/>
    <xf numFmtId="43" fontId="2" fillId="3" borderId="12" xfId="1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44" fontId="5" fillId="2" borderId="15" xfId="2" applyFont="1" applyFill="1" applyBorder="1"/>
    <xf numFmtId="0" fontId="2" fillId="3" borderId="16" xfId="0" applyFont="1" applyFill="1" applyBorder="1"/>
    <xf numFmtId="0" fontId="2" fillId="3" borderId="1" xfId="0" quotePrefix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/>
    <xf numFmtId="0" fontId="1" fillId="0" borderId="0" xfId="0" applyFont="1"/>
    <xf numFmtId="0" fontId="19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167" fontId="21" fillId="4" borderId="0" xfId="0" applyNumberFormat="1" applyFont="1" applyFill="1"/>
    <xf numFmtId="0" fontId="19" fillId="0" borderId="17" xfId="0" applyFont="1" applyFill="1" applyBorder="1" applyAlignment="1">
      <alignment horizontal="center"/>
    </xf>
    <xf numFmtId="0" fontId="18" fillId="0" borderId="0" xfId="0" applyFont="1" applyFill="1"/>
    <xf numFmtId="167" fontId="18" fillId="0" borderId="19" xfId="2" applyNumberFormat="1" applyFont="1" applyFill="1" applyBorder="1"/>
    <xf numFmtId="167" fontId="18" fillId="0" borderId="2" xfId="2" applyNumberFormat="1" applyFont="1" applyFill="1" applyBorder="1"/>
    <xf numFmtId="167" fontId="18" fillId="0" borderId="20" xfId="2" applyNumberFormat="1" applyFont="1" applyFill="1" applyBorder="1"/>
    <xf numFmtId="0" fontId="18" fillId="0" borderId="17" xfId="0" applyFont="1" applyFill="1" applyBorder="1"/>
    <xf numFmtId="167" fontId="18" fillId="0" borderId="21" xfId="0" applyNumberFormat="1" applyFont="1" applyFill="1" applyBorder="1"/>
    <xf numFmtId="9" fontId="18" fillId="0" borderId="2" xfId="3" applyFont="1" applyFill="1" applyBorder="1"/>
    <xf numFmtId="9" fontId="18" fillId="0" borderId="20" xfId="3" applyFont="1" applyFill="1" applyBorder="1"/>
    <xf numFmtId="0" fontId="18" fillId="0" borderId="21" xfId="0" applyFont="1" applyFill="1" applyBorder="1"/>
    <xf numFmtId="169" fontId="18" fillId="0" borderId="21" xfId="1" applyNumberFormat="1" applyFont="1" applyFill="1" applyBorder="1"/>
    <xf numFmtId="10" fontId="18" fillId="0" borderId="2" xfId="3" applyNumberFormat="1" applyFont="1" applyFill="1" applyBorder="1"/>
    <xf numFmtId="10" fontId="18" fillId="0" borderId="20" xfId="3" applyNumberFormat="1" applyFont="1" applyFill="1" applyBorder="1"/>
    <xf numFmtId="167" fontId="18" fillId="0" borderId="18" xfId="0" applyNumberFormat="1" applyFont="1" applyFill="1" applyBorder="1"/>
    <xf numFmtId="0" fontId="19" fillId="2" borderId="2" xfId="0" applyFont="1" applyFill="1" applyBorder="1" applyAlignment="1">
      <alignment horizontal="center"/>
    </xf>
    <xf numFmtId="9" fontId="20" fillId="2" borderId="2" xfId="3" applyFont="1" applyFill="1" applyBorder="1"/>
    <xf numFmtId="167" fontId="20" fillId="2" borderId="2" xfId="2" applyNumberFormat="1" applyFont="1" applyFill="1" applyBorder="1"/>
    <xf numFmtId="10" fontId="20" fillId="2" borderId="2" xfId="3" applyNumberFormat="1" applyFont="1" applyFill="1" applyBorder="1"/>
    <xf numFmtId="167" fontId="20" fillId="2" borderId="20" xfId="2" applyNumberFormat="1" applyFont="1" applyFill="1" applyBorder="1"/>
    <xf numFmtId="10" fontId="22" fillId="0" borderId="2" xfId="3" applyNumberFormat="1" applyFont="1" applyFill="1" applyBorder="1"/>
    <xf numFmtId="167" fontId="22" fillId="0" borderId="2" xfId="2" applyNumberFormat="1" applyFont="1" applyFill="1" applyBorder="1"/>
    <xf numFmtId="0" fontId="6" fillId="5" borderId="22" xfId="0" applyFont="1" applyFill="1" applyBorder="1"/>
    <xf numFmtId="0" fontId="6" fillId="5" borderId="23" xfId="0" applyFont="1" applyFill="1" applyBorder="1"/>
    <xf numFmtId="44" fontId="5" fillId="5" borderId="23" xfId="2" applyFont="1" applyFill="1" applyBorder="1"/>
    <xf numFmtId="43" fontId="5" fillId="5" borderId="23" xfId="1" applyFont="1" applyFill="1" applyBorder="1"/>
    <xf numFmtId="43" fontId="6" fillId="5" borderId="23" xfId="1" applyFont="1" applyFill="1" applyBorder="1"/>
    <xf numFmtId="43" fontId="6" fillId="5" borderId="24" xfId="1" applyFont="1" applyFill="1" applyBorder="1"/>
    <xf numFmtId="43" fontId="6" fillId="5" borderId="22" xfId="1" quotePrefix="1" applyFont="1" applyFill="1" applyBorder="1"/>
    <xf numFmtId="43" fontId="5" fillId="5" borderId="19" xfId="0" applyNumberFormat="1" applyFont="1" applyFill="1" applyBorder="1"/>
    <xf numFmtId="43" fontId="6" fillId="5" borderId="23" xfId="0" applyNumberFormat="1" applyFont="1" applyFill="1" applyBorder="1"/>
    <xf numFmtId="43" fontId="6" fillId="5" borderId="22" xfId="1" applyFont="1" applyFill="1" applyBorder="1"/>
    <xf numFmtId="44" fontId="5" fillId="5" borderId="25" xfId="0" applyNumberFormat="1" applyFont="1" applyFill="1" applyBorder="1"/>
    <xf numFmtId="43" fontId="6" fillId="5" borderId="23" xfId="1" applyFont="1" applyFill="1" applyBorder="1" applyAlignment="1">
      <alignment horizontal="center"/>
    </xf>
    <xf numFmtId="43" fontId="6" fillId="5" borderId="24" xfId="0" applyNumberFormat="1" applyFont="1" applyFill="1" applyBorder="1"/>
    <xf numFmtId="44" fontId="5" fillId="5" borderId="23" xfId="0" applyNumberFormat="1" applyFont="1" applyFill="1" applyBorder="1"/>
    <xf numFmtId="0" fontId="5" fillId="5" borderId="22" xfId="0" applyFont="1" applyFill="1" applyBorder="1"/>
    <xf numFmtId="44" fontId="4" fillId="5" borderId="26" xfId="0" applyNumberFormat="1" applyFont="1" applyFill="1" applyBorder="1"/>
    <xf numFmtId="0" fontId="4" fillId="5" borderId="23" xfId="0" applyFont="1" applyFill="1" applyBorder="1"/>
    <xf numFmtId="43" fontId="4" fillId="5" borderId="23" xfId="1" applyFont="1" applyFill="1" applyBorder="1"/>
    <xf numFmtId="43" fontId="4" fillId="5" borderId="24" xfId="1" applyFont="1" applyFill="1" applyBorder="1"/>
    <xf numFmtId="44" fontId="4" fillId="5" borderId="23" xfId="2" applyFont="1" applyFill="1" applyBorder="1"/>
    <xf numFmtId="164" fontId="4" fillId="5" borderId="24" xfId="3" applyNumberFormat="1" applyFont="1" applyFill="1" applyBorder="1"/>
    <xf numFmtId="0" fontId="4" fillId="5" borderId="27" xfId="0" applyFont="1" applyFill="1" applyBorder="1"/>
    <xf numFmtId="0" fontId="4" fillId="5" borderId="22" xfId="0" applyFont="1" applyFill="1" applyBorder="1"/>
    <xf numFmtId="0" fontId="4" fillId="5" borderId="22" xfId="0" quotePrefix="1" applyFont="1" applyFill="1" applyBorder="1" applyAlignment="1">
      <alignment horizontal="center"/>
    </xf>
    <xf numFmtId="0" fontId="4" fillId="5" borderId="28" xfId="0" applyFont="1" applyFill="1" applyBorder="1"/>
    <xf numFmtId="0" fontId="13" fillId="4" borderId="20" xfId="0" applyFont="1" applyFill="1" applyBorder="1" applyAlignment="1">
      <alignment horizontal="center"/>
    </xf>
    <xf numFmtId="0" fontId="4" fillId="2" borderId="27" xfId="0" applyFont="1" applyFill="1" applyBorder="1"/>
    <xf numFmtId="0" fontId="4" fillId="2" borderId="22" xfId="0" applyFont="1" applyFill="1" applyBorder="1"/>
    <xf numFmtId="0" fontId="4" fillId="2" borderId="28" xfId="0" applyFont="1" applyFill="1" applyBorder="1"/>
    <xf numFmtId="0" fontId="4" fillId="2" borderId="29" xfId="0" applyFont="1" applyFill="1" applyBorder="1"/>
    <xf numFmtId="44" fontId="4" fillId="2" borderId="26" xfId="0" applyNumberFormat="1" applyFont="1" applyFill="1" applyBorder="1"/>
    <xf numFmtId="0" fontId="4" fillId="2" borderId="0" xfId="0" applyFont="1" applyFill="1" applyBorder="1"/>
    <xf numFmtId="0" fontId="4" fillId="2" borderId="23" xfId="0" applyFont="1" applyFill="1" applyBorder="1"/>
    <xf numFmtId="43" fontId="4" fillId="2" borderId="23" xfId="1" applyFont="1" applyFill="1" applyBorder="1"/>
    <xf numFmtId="0" fontId="4" fillId="2" borderId="0" xfId="0" quotePrefix="1" applyFont="1" applyFill="1" applyBorder="1" applyAlignment="1">
      <alignment horizontal="center"/>
    </xf>
    <xf numFmtId="43" fontId="4" fillId="2" borderId="24" xfId="1" applyFont="1" applyFill="1" applyBorder="1"/>
    <xf numFmtId="44" fontId="4" fillId="2" borderId="23" xfId="2" applyFont="1" applyFill="1" applyBorder="1"/>
    <xf numFmtId="0" fontId="4" fillId="2" borderId="1" xfId="0" applyFont="1" applyFill="1" applyBorder="1"/>
    <xf numFmtId="164" fontId="4" fillId="2" borderId="24" xfId="3" applyNumberFormat="1" applyFont="1" applyFill="1" applyBorder="1"/>
    <xf numFmtId="0" fontId="25" fillId="0" borderId="0" xfId="0" applyFont="1"/>
    <xf numFmtId="0" fontId="17" fillId="2" borderId="27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2" borderId="26" xfId="0" applyFont="1" applyFill="1" applyBorder="1" applyAlignment="1">
      <alignment horizontal="center"/>
    </xf>
    <xf numFmtId="0" fontId="17" fillId="2" borderId="28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0" fontId="17" fillId="2" borderId="2" xfId="0" applyFont="1" applyFill="1" applyBorder="1"/>
    <xf numFmtId="169" fontId="17" fillId="2" borderId="20" xfId="1" applyNumberFormat="1" applyFont="1" applyFill="1" applyBorder="1"/>
    <xf numFmtId="169" fontId="17" fillId="2" borderId="2" xfId="1" applyNumberFormat="1" applyFont="1" applyFill="1" applyBorder="1"/>
    <xf numFmtId="169" fontId="17" fillId="2" borderId="19" xfId="0" applyNumberFormat="1" applyFont="1" applyFill="1" applyBorder="1"/>
    <xf numFmtId="0" fontId="25" fillId="3" borderId="0" xfId="0" applyFont="1" applyFill="1"/>
    <xf numFmtId="0" fontId="17" fillId="3" borderId="0" xfId="0" applyFont="1" applyFill="1" applyBorder="1"/>
    <xf numFmtId="0" fontId="6" fillId="5" borderId="26" xfId="0" applyFont="1" applyFill="1" applyBorder="1"/>
    <xf numFmtId="44" fontId="5" fillId="5" borderId="24" xfId="2" applyFont="1" applyFill="1" applyBorder="1"/>
    <xf numFmtId="0" fontId="6" fillId="5" borderId="22" xfId="0" quotePrefix="1" applyFont="1" applyFill="1" applyBorder="1" applyAlignment="1">
      <alignment horizontal="right"/>
    </xf>
    <xf numFmtId="44" fontId="5" fillId="5" borderId="30" xfId="0" applyNumberFormat="1" applyFont="1" applyFill="1" applyBorder="1"/>
    <xf numFmtId="0" fontId="0" fillId="5" borderId="22" xfId="0" applyFill="1" applyBorder="1"/>
    <xf numFmtId="0" fontId="0" fillId="5" borderId="28" xfId="0" applyFill="1" applyBorder="1"/>
    <xf numFmtId="0" fontId="0" fillId="5" borderId="24" xfId="0" applyFill="1" applyBorder="1"/>
    <xf numFmtId="0" fontId="24" fillId="4" borderId="20" xfId="0" applyFont="1" applyFill="1" applyBorder="1"/>
    <xf numFmtId="44" fontId="23" fillId="4" borderId="19" xfId="2" applyFont="1" applyFill="1" applyBorder="1"/>
    <xf numFmtId="164" fontId="5" fillId="5" borderId="25" xfId="3" applyNumberFormat="1" applyFont="1" applyFill="1" applyBorder="1"/>
    <xf numFmtId="0" fontId="6" fillId="5" borderId="27" xfId="0" applyFont="1" applyFill="1" applyBorder="1"/>
    <xf numFmtId="44" fontId="5" fillId="5" borderId="26" xfId="0" applyNumberFormat="1" applyFont="1" applyFill="1" applyBorder="1"/>
    <xf numFmtId="0" fontId="6" fillId="5" borderId="28" xfId="0" applyFont="1" applyFill="1" applyBorder="1"/>
    <xf numFmtId="44" fontId="5" fillId="5" borderId="24" xfId="0" applyNumberFormat="1" applyFont="1" applyFill="1" applyBorder="1"/>
    <xf numFmtId="43" fontId="0" fillId="0" borderId="1" xfId="1" applyFont="1" applyBorder="1"/>
    <xf numFmtId="43" fontId="0" fillId="3" borderId="0" xfId="1" applyFont="1" applyFill="1"/>
    <xf numFmtId="10" fontId="0" fillId="0" borderId="0" xfId="3" applyNumberFormat="1" applyFont="1"/>
    <xf numFmtId="44" fontId="0" fillId="0" borderId="0" xfId="2" applyFont="1"/>
    <xf numFmtId="0" fontId="0" fillId="3" borderId="0" xfId="0" applyFill="1"/>
    <xf numFmtId="0" fontId="5" fillId="0" borderId="27" xfId="0" applyFont="1" applyFill="1" applyBorder="1"/>
    <xf numFmtId="0" fontId="6" fillId="0" borderId="29" xfId="0" applyFont="1" applyFill="1" applyBorder="1"/>
    <xf numFmtId="44" fontId="5" fillId="0" borderId="26" xfId="0" applyNumberFormat="1" applyFont="1" applyFill="1" applyBorder="1"/>
    <xf numFmtId="0" fontId="5" fillId="0" borderId="28" xfId="0" applyFont="1" applyFill="1" applyBorder="1"/>
    <xf numFmtId="0" fontId="6" fillId="0" borderId="1" xfId="0" applyFont="1" applyFill="1" applyBorder="1"/>
    <xf numFmtId="44" fontId="5" fillId="0" borderId="24" xfId="0" applyNumberFormat="1" applyFont="1" applyFill="1" applyBorder="1"/>
    <xf numFmtId="0" fontId="23" fillId="0" borderId="20" xfId="0" applyFont="1" applyFill="1" applyBorder="1"/>
    <xf numFmtId="0" fontId="24" fillId="0" borderId="31" xfId="0" applyFont="1" applyFill="1" applyBorder="1"/>
    <xf numFmtId="44" fontId="23" fillId="0" borderId="20" xfId="2" applyFont="1" applyFill="1" applyBorder="1"/>
    <xf numFmtId="0" fontId="6" fillId="0" borderId="27" xfId="0" applyFont="1" applyFill="1" applyBorder="1"/>
    <xf numFmtId="0" fontId="6" fillId="0" borderId="26" xfId="0" applyFont="1" applyFill="1" applyBorder="1"/>
    <xf numFmtId="0" fontId="5" fillId="0" borderId="22" xfId="0" applyFont="1" applyFill="1" applyBorder="1"/>
    <xf numFmtId="0" fontId="6" fillId="0" borderId="0" xfId="0" applyFont="1" applyFill="1" applyBorder="1"/>
    <xf numFmtId="0" fontId="6" fillId="0" borderId="23" xfId="0" applyFont="1" applyFill="1" applyBorder="1"/>
    <xf numFmtId="0" fontId="6" fillId="0" borderId="22" xfId="0" applyFont="1" applyFill="1" applyBorder="1"/>
    <xf numFmtId="44" fontId="5" fillId="0" borderId="23" xfId="2" applyFont="1" applyFill="1" applyBorder="1"/>
    <xf numFmtId="44" fontId="5" fillId="0" borderId="22" xfId="2" applyFont="1" applyFill="1" applyBorder="1"/>
    <xf numFmtId="0" fontId="5" fillId="0" borderId="0" xfId="0" applyFont="1" applyFill="1" applyBorder="1"/>
    <xf numFmtId="0" fontId="5" fillId="0" borderId="23" xfId="0" applyFont="1" applyFill="1" applyBorder="1"/>
    <xf numFmtId="43" fontId="6" fillId="0" borderId="22" xfId="1" applyFont="1" applyFill="1" applyBorder="1"/>
    <xf numFmtId="43" fontId="5" fillId="0" borderId="23" xfId="1" applyFont="1" applyFill="1" applyBorder="1"/>
    <xf numFmtId="43" fontId="6" fillId="0" borderId="23" xfId="1" applyFont="1" applyFill="1" applyBorder="1"/>
    <xf numFmtId="43" fontId="6" fillId="0" borderId="24" xfId="1" applyFont="1" applyFill="1" applyBorder="1"/>
    <xf numFmtId="43" fontId="6" fillId="0" borderId="22" xfId="1" quotePrefix="1" applyFont="1" applyFill="1" applyBorder="1"/>
    <xf numFmtId="43" fontId="5" fillId="0" borderId="19" xfId="0" applyNumberFormat="1" applyFont="1" applyFill="1" applyBorder="1"/>
    <xf numFmtId="43" fontId="6" fillId="0" borderId="23" xfId="0" applyNumberFormat="1" applyFont="1" applyFill="1" applyBorder="1"/>
    <xf numFmtId="44" fontId="5" fillId="0" borderId="25" xfId="0" applyNumberFormat="1" applyFont="1" applyFill="1" applyBorder="1"/>
    <xf numFmtId="43" fontId="6" fillId="0" borderId="23" xfId="1" applyFont="1" applyFill="1" applyBorder="1" applyAlignment="1">
      <alignment horizontal="center"/>
    </xf>
    <xf numFmtId="43" fontId="6" fillId="0" borderId="24" xfId="0" applyNumberFormat="1" applyFont="1" applyFill="1" applyBorder="1"/>
    <xf numFmtId="44" fontId="5" fillId="0" borderId="24" xfId="2" applyFont="1" applyFill="1" applyBorder="1"/>
    <xf numFmtId="0" fontId="6" fillId="0" borderId="22" xfId="0" quotePrefix="1" applyFont="1" applyFill="1" applyBorder="1" applyAlignment="1">
      <alignment horizontal="right"/>
    </xf>
    <xf numFmtId="44" fontId="5" fillId="0" borderId="30" xfId="0" applyNumberFormat="1" applyFont="1" applyFill="1" applyBorder="1"/>
    <xf numFmtId="44" fontId="5" fillId="0" borderId="23" xfId="0" applyNumberFormat="1" applyFont="1" applyFill="1" applyBorder="1"/>
    <xf numFmtId="0" fontId="2" fillId="0" borderId="22" xfId="0" applyFont="1" applyFill="1" applyBorder="1"/>
    <xf numFmtId="0" fontId="0" fillId="0" borderId="0" xfId="0" applyFill="1" applyBorder="1"/>
    <xf numFmtId="0" fontId="0" fillId="0" borderId="23" xfId="0" applyFill="1" applyBorder="1"/>
    <xf numFmtId="164" fontId="5" fillId="0" borderId="25" xfId="3" applyNumberFormat="1" applyFont="1" applyFill="1" applyBorder="1"/>
    <xf numFmtId="0" fontId="2" fillId="0" borderId="28" xfId="0" applyFont="1" applyFill="1" applyBorder="1"/>
    <xf numFmtId="0" fontId="0" fillId="0" borderId="1" xfId="0" applyFill="1" applyBorder="1"/>
    <xf numFmtId="0" fontId="0" fillId="0" borderId="24" xfId="0" applyFill="1" applyBorder="1"/>
    <xf numFmtId="0" fontId="0" fillId="0" borderId="28" xfId="0" applyFill="1" applyBorder="1"/>
    <xf numFmtId="0" fontId="0" fillId="0" borderId="0" xfId="0" applyBorder="1"/>
    <xf numFmtId="44" fontId="5" fillId="0" borderId="29" xfId="0" applyNumberFormat="1" applyFont="1" applyFill="1" applyBorder="1"/>
    <xf numFmtId="44" fontId="5" fillId="0" borderId="1" xfId="0" applyNumberFormat="1" applyFont="1" applyFill="1" applyBorder="1"/>
    <xf numFmtId="44" fontId="23" fillId="4" borderId="31" xfId="2" applyFont="1" applyFill="1" applyBorder="1"/>
    <xf numFmtId="44" fontId="5" fillId="0" borderId="0" xfId="2" applyFont="1" applyFill="1" applyBorder="1"/>
    <xf numFmtId="43" fontId="5" fillId="0" borderId="0" xfId="1" applyFont="1" applyFill="1" applyBorder="1"/>
    <xf numFmtId="43" fontId="6" fillId="0" borderId="0" xfId="1" applyFont="1" applyFill="1" applyBorder="1"/>
    <xf numFmtId="43" fontId="5" fillId="0" borderId="0" xfId="0" applyNumberFormat="1" applyFont="1" applyFill="1" applyBorder="1"/>
    <xf numFmtId="43" fontId="6" fillId="0" borderId="0" xfId="0" applyNumberFormat="1" applyFont="1" applyFill="1" applyBorder="1"/>
    <xf numFmtId="44" fontId="5" fillId="0" borderId="0" xfId="0" applyNumberFormat="1" applyFont="1" applyFill="1" applyBorder="1"/>
    <xf numFmtId="43" fontId="6" fillId="0" borderId="0" xfId="1" applyFont="1" applyFill="1" applyBorder="1" applyAlignment="1">
      <alignment horizontal="center"/>
    </xf>
    <xf numFmtId="164" fontId="5" fillId="0" borderId="0" xfId="3" applyNumberFormat="1" applyFont="1" applyFill="1" applyBorder="1"/>
    <xf numFmtId="0" fontId="6" fillId="3" borderId="0" xfId="0" applyFont="1" applyFill="1" applyBorder="1"/>
    <xf numFmtId="0" fontId="6" fillId="3" borderId="23" xfId="0" applyFont="1" applyFill="1" applyBorder="1"/>
    <xf numFmtId="43" fontId="6" fillId="3" borderId="22" xfId="1" applyFont="1" applyFill="1" applyBorder="1"/>
    <xf numFmtId="43" fontId="6" fillId="3" borderId="23" xfId="1" applyFont="1" applyFill="1" applyBorder="1"/>
    <xf numFmtId="43" fontId="6" fillId="0" borderId="24" xfId="1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0" fontId="0" fillId="0" borderId="14" xfId="0" applyBorder="1"/>
    <xf numFmtId="0" fontId="0" fillId="0" borderId="32" xfId="0" applyBorder="1"/>
    <xf numFmtId="167" fontId="13" fillId="4" borderId="20" xfId="2" applyNumberFormat="1" applyFont="1" applyFill="1" applyBorder="1" applyAlignment="1">
      <alignment horizontal="center"/>
    </xf>
    <xf numFmtId="167" fontId="13" fillId="4" borderId="19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LPS05/techbudg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t/Local%20Settings/Temporary%20Internet%20Files/OLKDF/1%25%20Schedu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t/Local%20Settings/Temporary%20Internet%20Files/OLKDF/FTE%20changes%20(Tom)_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1">
          <cell r="E31">
            <v>266000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omp"/>
      <sheetName val="Short Total Comp"/>
      <sheetName val="1% Schedules"/>
      <sheetName val="Sheet1"/>
      <sheetName val="Sheet2"/>
      <sheetName val="Sheet3"/>
      <sheetName val="Sheet5"/>
      <sheetName val="Sheet6"/>
      <sheetName val="Sheet4"/>
    </sheetNames>
    <sheetDataSet>
      <sheetData sheetId="0">
        <row r="23">
          <cell r="E23">
            <v>353625.19376099994</v>
          </cell>
          <cell r="G23">
            <v>111085.55000000002</v>
          </cell>
          <cell r="H23">
            <v>150849.166</v>
          </cell>
          <cell r="I23">
            <v>648608.1050000001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>
        <row r="34">
          <cell r="F34">
            <v>305097.09999999998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topLeftCell="A7" zoomScale="65" workbookViewId="0">
      <selection activeCell="N18" sqref="N18"/>
    </sheetView>
  </sheetViews>
  <sheetFormatPr defaultRowHeight="12.75" x14ac:dyDescent="0.2"/>
  <cols>
    <col min="1" max="1" width="3.7109375" style="1" customWidth="1"/>
    <col min="2" max="2" width="3.7109375" customWidth="1"/>
    <col min="3" max="3" width="10.42578125" customWidth="1"/>
    <col min="4" max="4" width="55.85546875" customWidth="1"/>
    <col min="5" max="5" width="2.7109375" customWidth="1"/>
    <col min="6" max="6" width="23.7109375" bestFit="1" customWidth="1"/>
    <col min="7" max="7" width="20.85546875" customWidth="1"/>
    <col min="8" max="8" width="4" bestFit="1" customWidth="1"/>
    <col min="9" max="9" width="23.7109375" bestFit="1" customWidth="1"/>
  </cols>
  <sheetData>
    <row r="1" spans="1:9" ht="30.75" thickBot="1" x14ac:dyDescent="0.45">
      <c r="A1" s="214" t="s">
        <v>120</v>
      </c>
      <c r="B1" s="215"/>
      <c r="C1" s="215"/>
      <c r="D1" s="215"/>
      <c r="E1" s="215"/>
      <c r="F1" s="216"/>
      <c r="G1" s="197"/>
    </row>
    <row r="3" spans="1:9" s="3" customFormat="1" ht="15" x14ac:dyDescent="0.2"/>
    <row r="4" spans="1:9" s="3" customFormat="1" ht="15" x14ac:dyDescent="0.2"/>
    <row r="5" spans="1:9" s="3" customFormat="1" ht="15" x14ac:dyDescent="0.2"/>
    <row r="6" spans="1:9" s="3" customFormat="1" ht="15.75" x14ac:dyDescent="0.25">
      <c r="A6" s="156" t="s">
        <v>111</v>
      </c>
      <c r="B6" s="157"/>
      <c r="C6" s="157"/>
      <c r="D6" s="157"/>
      <c r="E6" s="157"/>
      <c r="F6" s="158">
        <f>I6</f>
        <v>3756477.1699999943</v>
      </c>
      <c r="G6" s="198"/>
      <c r="H6" s="147"/>
      <c r="I6" s="148">
        <f>Sheet2!D11</f>
        <v>3756477.1699999943</v>
      </c>
    </row>
    <row r="7" spans="1:9" s="3" customFormat="1" ht="15.75" x14ac:dyDescent="0.25">
      <c r="A7" s="159"/>
      <c r="B7" s="160"/>
      <c r="C7" s="160"/>
      <c r="D7" s="160"/>
      <c r="E7" s="160"/>
      <c r="F7" s="161"/>
      <c r="G7" s="199"/>
      <c r="H7" s="149"/>
      <c r="I7" s="150"/>
    </row>
    <row r="8" spans="1:9" s="3" customFormat="1" ht="15.75" x14ac:dyDescent="0.25">
      <c r="A8" s="162" t="s">
        <v>87</v>
      </c>
      <c r="B8" s="163"/>
      <c r="C8" s="163"/>
      <c r="D8" s="163"/>
      <c r="E8" s="164"/>
      <c r="F8" s="145">
        <v>175</v>
      </c>
      <c r="G8" s="200"/>
      <c r="H8" s="144"/>
      <c r="I8" s="145">
        <v>175</v>
      </c>
    </row>
    <row r="9" spans="1:9" s="3" customFormat="1" ht="15" x14ac:dyDescent="0.2">
      <c r="A9" s="165"/>
      <c r="B9" s="157"/>
      <c r="C9" s="157"/>
      <c r="D9" s="166"/>
      <c r="E9" s="165"/>
      <c r="F9" s="166"/>
      <c r="G9" s="168"/>
      <c r="H9" s="85"/>
      <c r="I9" s="86"/>
    </row>
    <row r="10" spans="1:9" s="3" customFormat="1" ht="15.75" x14ac:dyDescent="0.25">
      <c r="A10" s="167" t="s">
        <v>0</v>
      </c>
      <c r="B10" s="168"/>
      <c r="C10" s="168"/>
      <c r="D10" s="169"/>
      <c r="E10" s="170"/>
      <c r="F10" s="171">
        <f>I10</f>
        <v>39332233.990000002</v>
      </c>
      <c r="G10" s="201"/>
      <c r="H10" s="85"/>
      <c r="I10" s="87">
        <v>39332233.990000002</v>
      </c>
    </row>
    <row r="11" spans="1:9" s="3" customFormat="1" ht="15.75" x14ac:dyDescent="0.25">
      <c r="A11" s="167"/>
      <c r="B11" s="168"/>
      <c r="C11" s="168"/>
      <c r="D11" s="169"/>
      <c r="E11" s="172"/>
      <c r="F11" s="171"/>
      <c r="G11" s="201"/>
      <c r="H11" s="85"/>
      <c r="I11" s="87"/>
    </row>
    <row r="12" spans="1:9" s="3" customFormat="1" ht="15.75" x14ac:dyDescent="0.25">
      <c r="A12" s="167"/>
      <c r="B12" s="173" t="s">
        <v>3</v>
      </c>
      <c r="C12" s="168"/>
      <c r="D12" s="169"/>
      <c r="E12" s="170"/>
      <c r="F12" s="169"/>
      <c r="G12" s="168"/>
      <c r="H12" s="85"/>
      <c r="I12" s="86"/>
    </row>
    <row r="13" spans="1:9" s="3" customFormat="1" ht="15.75" x14ac:dyDescent="0.25">
      <c r="A13" s="167"/>
      <c r="B13" s="168"/>
      <c r="C13" s="173" t="s">
        <v>87</v>
      </c>
      <c r="D13" s="174"/>
      <c r="E13" s="175"/>
      <c r="F13" s="176">
        <f>5353*F8</f>
        <v>936775</v>
      </c>
      <c r="G13" s="202"/>
      <c r="H13" s="85"/>
      <c r="I13" s="88">
        <f>5353*I8</f>
        <v>936775</v>
      </c>
    </row>
    <row r="14" spans="1:9" s="3" customFormat="1" ht="15.75" x14ac:dyDescent="0.25">
      <c r="A14" s="167"/>
      <c r="B14" s="168"/>
      <c r="C14" s="209" t="s">
        <v>116</v>
      </c>
      <c r="D14" s="210"/>
      <c r="E14" s="211"/>
      <c r="F14" s="212">
        <f>32.34*6990</f>
        <v>226056.60000000003</v>
      </c>
      <c r="G14" s="203"/>
      <c r="H14" s="85"/>
      <c r="I14" s="89">
        <v>0</v>
      </c>
    </row>
    <row r="15" spans="1:9" s="3" customFormat="1" ht="15.75" x14ac:dyDescent="0.25">
      <c r="A15" s="167"/>
      <c r="B15" s="168"/>
      <c r="C15" s="168" t="s">
        <v>12</v>
      </c>
      <c r="D15" s="169"/>
      <c r="E15" s="175"/>
      <c r="F15" s="177">
        <v>633230</v>
      </c>
      <c r="G15" s="203"/>
      <c r="H15" s="85"/>
      <c r="I15" s="89">
        <v>372759</v>
      </c>
    </row>
    <row r="16" spans="1:9" s="3" customFormat="1" ht="15.75" x14ac:dyDescent="0.25">
      <c r="A16" s="167"/>
      <c r="B16" s="168"/>
      <c r="C16" s="209" t="s">
        <v>13</v>
      </c>
      <c r="D16" s="210"/>
      <c r="E16" s="211"/>
      <c r="F16" s="212">
        <v>0</v>
      </c>
      <c r="G16" s="203"/>
      <c r="H16" s="85"/>
      <c r="I16" s="89">
        <v>196347</v>
      </c>
    </row>
    <row r="17" spans="1:9" s="3" customFormat="1" ht="15.75" x14ac:dyDescent="0.25">
      <c r="A17" s="167"/>
      <c r="B17" s="168"/>
      <c r="C17" s="168" t="s">
        <v>82</v>
      </c>
      <c r="D17" s="169"/>
      <c r="E17" s="175"/>
      <c r="F17" s="177">
        <v>23197</v>
      </c>
      <c r="G17" s="203"/>
      <c r="H17" s="85"/>
      <c r="I17" s="89">
        <v>16849</v>
      </c>
    </row>
    <row r="18" spans="1:9" s="3" customFormat="1" ht="15.75" x14ac:dyDescent="0.25">
      <c r="A18" s="167"/>
      <c r="B18" s="168"/>
      <c r="C18" s="168" t="s">
        <v>79</v>
      </c>
      <c r="D18" s="169"/>
      <c r="E18" s="175"/>
      <c r="F18" s="177">
        <f>38000-275529</f>
        <v>-237529</v>
      </c>
      <c r="G18" s="203"/>
      <c r="H18" s="85"/>
      <c r="I18" s="89">
        <v>-275529</v>
      </c>
    </row>
    <row r="19" spans="1:9" s="3" customFormat="1" ht="15.75" x14ac:dyDescent="0.25">
      <c r="A19" s="167"/>
      <c r="B19" s="168"/>
      <c r="C19" s="168" t="s">
        <v>1</v>
      </c>
      <c r="D19" s="169"/>
      <c r="E19" s="175"/>
      <c r="F19" s="178">
        <v>-230430</v>
      </c>
      <c r="G19" s="203"/>
      <c r="H19" s="85"/>
      <c r="I19" s="90">
        <v>-230430</v>
      </c>
    </row>
    <row r="20" spans="1:9" s="3" customFormat="1" ht="15.75" x14ac:dyDescent="0.25">
      <c r="A20" s="167"/>
      <c r="B20" s="173" t="s">
        <v>55</v>
      </c>
      <c r="C20" s="168"/>
      <c r="D20" s="169"/>
      <c r="E20" s="179" t="s">
        <v>54</v>
      </c>
      <c r="F20" s="180">
        <f>SUM(F13:F19)</f>
        <v>1351299.6</v>
      </c>
      <c r="G20" s="204"/>
      <c r="H20" s="91" t="s">
        <v>54</v>
      </c>
      <c r="I20" s="92">
        <f>SUM(I13:I19)</f>
        <v>1016771</v>
      </c>
    </row>
    <row r="21" spans="1:9" s="3" customFormat="1" ht="15.75" x14ac:dyDescent="0.25">
      <c r="A21" s="167"/>
      <c r="B21" s="173"/>
      <c r="C21" s="168"/>
      <c r="D21" s="169"/>
      <c r="E21" s="170"/>
      <c r="F21" s="181"/>
      <c r="G21" s="205"/>
      <c r="H21" s="91"/>
      <c r="I21" s="93"/>
    </row>
    <row r="22" spans="1:9" s="3" customFormat="1" ht="16.5" thickBot="1" x14ac:dyDescent="0.3">
      <c r="A22" s="167" t="s">
        <v>6</v>
      </c>
      <c r="B22" s="168"/>
      <c r="C22" s="168"/>
      <c r="D22" s="169"/>
      <c r="E22" s="170"/>
      <c r="F22" s="182">
        <f>F10+F20</f>
        <v>40683533.590000004</v>
      </c>
      <c r="G22" s="206"/>
      <c r="H22" s="94"/>
      <c r="I22" s="95">
        <f>I10+I20</f>
        <v>40349004.990000002</v>
      </c>
    </row>
    <row r="23" spans="1:9" s="3" customFormat="1" ht="16.5" thickTop="1" x14ac:dyDescent="0.25">
      <c r="A23" s="167"/>
      <c r="B23" s="168"/>
      <c r="C23" s="168"/>
      <c r="D23" s="169"/>
      <c r="E23" s="175"/>
      <c r="F23" s="166"/>
      <c r="G23" s="168"/>
      <c r="H23" s="85"/>
      <c r="I23" s="137"/>
    </row>
    <row r="24" spans="1:9" s="3" customFormat="1" ht="15.75" x14ac:dyDescent="0.25">
      <c r="A24" s="167" t="s">
        <v>4</v>
      </c>
      <c r="B24" s="168"/>
      <c r="C24" s="168"/>
      <c r="D24" s="169"/>
      <c r="E24" s="170"/>
      <c r="F24" s="171">
        <v>39670124.670000002</v>
      </c>
      <c r="G24" s="201"/>
      <c r="H24" s="85"/>
      <c r="I24" s="87">
        <v>39670124.670000002</v>
      </c>
    </row>
    <row r="25" spans="1:9" s="3" customFormat="1" ht="15.75" x14ac:dyDescent="0.25">
      <c r="A25" s="167"/>
      <c r="B25" s="173" t="s">
        <v>3</v>
      </c>
      <c r="C25" s="168"/>
      <c r="D25" s="169"/>
      <c r="E25" s="170"/>
      <c r="F25" s="169"/>
      <c r="G25" s="168"/>
      <c r="H25" s="85"/>
      <c r="I25" s="86"/>
    </row>
    <row r="26" spans="1:9" s="3" customFormat="1" ht="15.75" x14ac:dyDescent="0.25">
      <c r="A26" s="167"/>
      <c r="B26" s="168"/>
      <c r="C26" s="168" t="s">
        <v>117</v>
      </c>
      <c r="D26" s="169"/>
      <c r="E26" s="175"/>
      <c r="F26" s="177">
        <v>152125.87</v>
      </c>
      <c r="G26" s="203"/>
      <c r="H26" s="85"/>
      <c r="I26" s="89">
        <v>-208969.67</v>
      </c>
    </row>
    <row r="27" spans="1:9" s="3" customFormat="1" ht="15.75" x14ac:dyDescent="0.25">
      <c r="A27" s="167"/>
      <c r="B27" s="168"/>
      <c r="C27" s="168" t="s">
        <v>118</v>
      </c>
      <c r="D27" s="169"/>
      <c r="E27" s="175"/>
      <c r="F27" s="177">
        <f>[3]Sheet1!$F$34</f>
        <v>305097.09999999998</v>
      </c>
      <c r="G27" s="203"/>
      <c r="H27" s="85"/>
      <c r="I27" s="89">
        <v>60881.1</v>
      </c>
    </row>
    <row r="28" spans="1:9" s="3" customFormat="1" ht="15.75" x14ac:dyDescent="0.25">
      <c r="A28" s="167"/>
      <c r="B28" s="168"/>
      <c r="C28" s="168" t="s">
        <v>25</v>
      </c>
      <c r="D28" s="169"/>
      <c r="E28" s="175"/>
      <c r="F28" s="183" t="s">
        <v>26</v>
      </c>
      <c r="G28" s="207"/>
      <c r="H28" s="85"/>
      <c r="I28" s="96" t="s">
        <v>26</v>
      </c>
    </row>
    <row r="29" spans="1:9" s="3" customFormat="1" ht="15.75" x14ac:dyDescent="0.25">
      <c r="A29" s="167"/>
      <c r="B29" s="168"/>
      <c r="C29" s="168" t="s">
        <v>119</v>
      </c>
      <c r="D29" s="169"/>
      <c r="E29" s="175"/>
      <c r="F29" s="177">
        <f>I29</f>
        <v>1264168.0147609999</v>
      </c>
      <c r="G29" s="203"/>
      <c r="H29" s="85"/>
      <c r="I29" s="89">
        <f>'[2]Total Comp'!$E$23+'[2]Total Comp'!$G$23+'[2]Total Comp'!$H$23+'[2]Total Comp'!$I$23</f>
        <v>1264168.0147609999</v>
      </c>
    </row>
    <row r="30" spans="1:9" s="3" customFormat="1" ht="15.75" x14ac:dyDescent="0.25">
      <c r="A30" s="167"/>
      <c r="B30" s="168"/>
      <c r="C30" s="168" t="s">
        <v>115</v>
      </c>
      <c r="D30" s="169"/>
      <c r="E30" s="175"/>
      <c r="F30" s="177">
        <v>205000</v>
      </c>
      <c r="G30" s="203"/>
      <c r="H30" s="85"/>
      <c r="I30" s="89">
        <v>205000</v>
      </c>
    </row>
    <row r="31" spans="1:9" s="3" customFormat="1" ht="15.75" x14ac:dyDescent="0.25">
      <c r="A31" s="167"/>
      <c r="B31" s="168"/>
      <c r="C31" s="168" t="s">
        <v>100</v>
      </c>
      <c r="D31" s="169"/>
      <c r="E31" s="175"/>
      <c r="F31" s="177">
        <v>57000</v>
      </c>
      <c r="G31" s="203"/>
      <c r="H31" s="85"/>
      <c r="I31" s="89">
        <v>57000</v>
      </c>
    </row>
    <row r="32" spans="1:9" s="3" customFormat="1" ht="15.75" x14ac:dyDescent="0.25">
      <c r="A32" s="167"/>
      <c r="B32" s="168"/>
      <c r="C32" s="168" t="s">
        <v>32</v>
      </c>
      <c r="D32" s="169"/>
      <c r="E32" s="175"/>
      <c r="F32" s="177">
        <v>7000</v>
      </c>
      <c r="G32" s="203"/>
      <c r="H32" s="85"/>
      <c r="I32" s="89">
        <v>7000</v>
      </c>
    </row>
    <row r="33" spans="1:9" s="3" customFormat="1" ht="15.75" x14ac:dyDescent="0.25">
      <c r="A33" s="167"/>
      <c r="B33" s="168"/>
      <c r="C33" s="209" t="s">
        <v>112</v>
      </c>
      <c r="D33" s="210"/>
      <c r="E33" s="211"/>
      <c r="F33" s="212">
        <f>585400-348400</f>
        <v>237000</v>
      </c>
      <c r="G33" s="203"/>
      <c r="H33" s="85"/>
      <c r="I33" s="89">
        <v>109000</v>
      </c>
    </row>
    <row r="34" spans="1:9" s="3" customFormat="1" ht="15.75" x14ac:dyDescent="0.25">
      <c r="A34" s="167"/>
      <c r="B34" s="168"/>
      <c r="C34" s="209" t="s">
        <v>113</v>
      </c>
      <c r="D34" s="210"/>
      <c r="E34" s="211"/>
      <c r="F34" s="212">
        <v>50000</v>
      </c>
      <c r="G34" s="203"/>
      <c r="H34" s="85"/>
      <c r="I34" s="89">
        <v>0</v>
      </c>
    </row>
    <row r="35" spans="1:9" s="3" customFormat="1" ht="15.75" x14ac:dyDescent="0.25">
      <c r="A35" s="167"/>
      <c r="B35" s="168"/>
      <c r="C35" s="209" t="s">
        <v>114</v>
      </c>
      <c r="D35" s="210"/>
      <c r="E35" s="211"/>
      <c r="F35" s="212">
        <f>708000-556000</f>
        <v>152000</v>
      </c>
      <c r="G35" s="203">
        <f>SUM(F33:F35)</f>
        <v>439000</v>
      </c>
      <c r="H35" s="85"/>
      <c r="I35" s="89">
        <v>0</v>
      </c>
    </row>
    <row r="36" spans="1:9" s="3" customFormat="1" ht="15.75" x14ac:dyDescent="0.25">
      <c r="A36" s="167"/>
      <c r="B36" s="168"/>
      <c r="C36" s="168" t="s">
        <v>33</v>
      </c>
      <c r="D36" s="169"/>
      <c r="E36" s="175"/>
      <c r="F36" s="177">
        <v>121500</v>
      </c>
      <c r="G36" s="203"/>
      <c r="H36" s="85"/>
      <c r="I36" s="89">
        <v>121500</v>
      </c>
    </row>
    <row r="37" spans="1:9" s="3" customFormat="1" ht="15.75" x14ac:dyDescent="0.25">
      <c r="A37" s="167"/>
      <c r="B37" s="168"/>
      <c r="C37" s="168" t="s">
        <v>24</v>
      </c>
      <c r="D37" s="169"/>
      <c r="E37" s="175"/>
      <c r="F37" s="177">
        <v>30000</v>
      </c>
      <c r="G37" s="203"/>
      <c r="H37" s="85"/>
      <c r="I37" s="89">
        <v>30000</v>
      </c>
    </row>
    <row r="38" spans="1:9" s="3" customFormat="1" ht="15.75" x14ac:dyDescent="0.25">
      <c r="A38" s="167"/>
      <c r="B38" s="168"/>
      <c r="C38" s="168" t="s">
        <v>88</v>
      </c>
      <c r="D38" s="169"/>
      <c r="E38" s="175"/>
      <c r="F38" s="177">
        <v>18000</v>
      </c>
      <c r="G38" s="203"/>
      <c r="H38" s="85"/>
      <c r="I38" s="89">
        <v>18000</v>
      </c>
    </row>
    <row r="39" spans="1:9" s="3" customFormat="1" ht="15.75" x14ac:dyDescent="0.25">
      <c r="A39" s="167"/>
      <c r="B39" s="168"/>
      <c r="C39" s="168" t="s">
        <v>80</v>
      </c>
      <c r="D39" s="169"/>
      <c r="E39" s="175"/>
      <c r="F39" s="213" t="s">
        <v>26</v>
      </c>
      <c r="G39" s="203"/>
      <c r="H39" s="85"/>
      <c r="I39" s="90">
        <f>Athletics!F21</f>
        <v>20981.567151999996</v>
      </c>
    </row>
    <row r="40" spans="1:9" s="3" customFormat="1" ht="15.75" x14ac:dyDescent="0.25">
      <c r="A40" s="167"/>
      <c r="B40" s="173" t="s">
        <v>55</v>
      </c>
      <c r="C40" s="168"/>
      <c r="D40" s="169"/>
      <c r="E40" s="179" t="s">
        <v>54</v>
      </c>
      <c r="F40" s="184">
        <f>SUM(F26:F39)</f>
        <v>2598890.9847609997</v>
      </c>
      <c r="G40" s="205"/>
      <c r="H40" s="91" t="s">
        <v>54</v>
      </c>
      <c r="I40" s="97">
        <f>SUM(I26:I39)</f>
        <v>1684561.0119129999</v>
      </c>
    </row>
    <row r="41" spans="1:9" s="3" customFormat="1" ht="15.75" x14ac:dyDescent="0.25">
      <c r="A41" s="167"/>
      <c r="B41" s="173"/>
      <c r="C41" s="168"/>
      <c r="D41" s="169"/>
      <c r="E41" s="170"/>
      <c r="F41" s="181"/>
      <c r="G41" s="205"/>
      <c r="H41" s="91"/>
      <c r="I41" s="93"/>
    </row>
    <row r="42" spans="1:9" s="3" customFormat="1" ht="16.5" thickBot="1" x14ac:dyDescent="0.3">
      <c r="A42" s="167" t="s">
        <v>86</v>
      </c>
      <c r="B42" s="168"/>
      <c r="C42" s="168"/>
      <c r="D42" s="174"/>
      <c r="E42" s="170"/>
      <c r="F42" s="182">
        <f>F24+F40</f>
        <v>42269015.654761001</v>
      </c>
      <c r="G42" s="206"/>
      <c r="H42" s="99"/>
      <c r="I42" s="95">
        <f>I24+I40</f>
        <v>41354685.681913003</v>
      </c>
    </row>
    <row r="43" spans="1:9" s="3" customFormat="1" ht="16.5" thickTop="1" x14ac:dyDescent="0.25">
      <c r="A43" s="167"/>
      <c r="B43" s="168"/>
      <c r="C43" s="168"/>
      <c r="D43" s="169"/>
      <c r="E43" s="170"/>
      <c r="F43" s="169"/>
      <c r="G43" s="168"/>
      <c r="H43" s="85"/>
      <c r="I43" s="86"/>
    </row>
    <row r="44" spans="1:9" s="3" customFormat="1" ht="15.75" x14ac:dyDescent="0.25">
      <c r="A44" s="167" t="s">
        <v>89</v>
      </c>
      <c r="B44" s="168"/>
      <c r="C44" s="168"/>
      <c r="D44" s="169"/>
      <c r="E44" s="170"/>
      <c r="F44" s="185">
        <f>F22-F42</f>
        <v>-1585482.0647609979</v>
      </c>
      <c r="G44" s="201"/>
      <c r="H44" s="85"/>
      <c r="I44" s="138">
        <f>I22-I42</f>
        <v>-1005680.6919130012</v>
      </c>
    </row>
    <row r="45" spans="1:9" s="3" customFormat="1" ht="15.75" x14ac:dyDescent="0.25">
      <c r="A45" s="167"/>
      <c r="B45" s="168"/>
      <c r="C45" s="168"/>
      <c r="D45" s="169"/>
      <c r="E45" s="170"/>
      <c r="F45" s="169"/>
      <c r="G45" s="168"/>
      <c r="H45" s="85"/>
      <c r="I45" s="86"/>
    </row>
    <row r="46" spans="1:9" s="3" customFormat="1" ht="15.75" x14ac:dyDescent="0.25">
      <c r="A46" s="167" t="s">
        <v>83</v>
      </c>
      <c r="B46" s="173"/>
      <c r="C46" s="173"/>
      <c r="D46" s="174"/>
      <c r="E46" s="167"/>
      <c r="F46" s="171">
        <f>F6+F44</f>
        <v>2170995.1052389964</v>
      </c>
      <c r="G46" s="201"/>
      <c r="H46" s="99"/>
      <c r="I46" s="87">
        <f>I6+I44</f>
        <v>2750796.4780869931</v>
      </c>
    </row>
    <row r="47" spans="1:9" ht="15.75" x14ac:dyDescent="0.25">
      <c r="A47" s="167"/>
      <c r="B47" s="168"/>
      <c r="C47" s="168" t="s">
        <v>14</v>
      </c>
      <c r="D47" s="169"/>
      <c r="E47" s="186" t="s">
        <v>21</v>
      </c>
      <c r="F47" s="178">
        <v>102580</v>
      </c>
      <c r="G47" s="203"/>
      <c r="H47" s="139" t="s">
        <v>21</v>
      </c>
      <c r="I47" s="90">
        <v>0</v>
      </c>
    </row>
    <row r="48" spans="1:9" ht="16.5" thickBot="1" x14ac:dyDescent="0.3">
      <c r="A48" s="167" t="s">
        <v>99</v>
      </c>
      <c r="B48" s="168"/>
      <c r="C48" s="168"/>
      <c r="D48" s="169"/>
      <c r="E48" s="172"/>
      <c r="F48" s="187">
        <f>F46-F47</f>
        <v>2068415.1052389964</v>
      </c>
      <c r="G48" s="206"/>
      <c r="H48" s="85"/>
      <c r="I48" s="140">
        <f>I46-I47</f>
        <v>2750796.4780869931</v>
      </c>
    </row>
    <row r="49" spans="1:9" ht="16.5" thickTop="1" x14ac:dyDescent="0.25">
      <c r="A49" s="167"/>
      <c r="B49" s="168"/>
      <c r="C49" s="168"/>
      <c r="D49" s="169"/>
      <c r="E49" s="172"/>
      <c r="F49" s="188"/>
      <c r="G49" s="206"/>
      <c r="H49" s="85"/>
      <c r="I49" s="98"/>
    </row>
    <row r="50" spans="1:9" ht="16.5" thickBot="1" x14ac:dyDescent="0.3">
      <c r="A50" s="189"/>
      <c r="B50" s="190"/>
      <c r="C50" s="190"/>
      <c r="D50" s="191"/>
      <c r="E50" s="170"/>
      <c r="F50" s="192">
        <f>F48/F42</f>
        <v>4.8934546338460075E-2</v>
      </c>
      <c r="G50" s="208"/>
      <c r="H50" s="141"/>
      <c r="I50" s="146">
        <f>I48/I42</f>
        <v>6.6517165654340557E-2</v>
      </c>
    </row>
    <row r="51" spans="1:9" ht="13.5" thickTop="1" x14ac:dyDescent="0.2">
      <c r="A51" s="193"/>
      <c r="B51" s="194"/>
      <c r="C51" s="194"/>
      <c r="D51" s="195"/>
      <c r="E51" s="196"/>
      <c r="F51" s="195"/>
      <c r="G51" s="194"/>
      <c r="H51" s="142"/>
      <c r="I51" s="143"/>
    </row>
  </sheetData>
  <mergeCells count="1">
    <mergeCell ref="A1:F1"/>
  </mergeCells>
  <phoneticPr fontId="3" type="noConversion"/>
  <printOptions horizontalCentered="1" verticalCentered="1"/>
  <pageMargins left="0.49" right="0.5" top="0.85" bottom="0.74" header="0.46" footer="0.28999999999999998"/>
  <pageSetup scale="8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IV1"/>
    </sheetView>
  </sheetViews>
  <sheetFormatPr defaultRowHeight="12.75" x14ac:dyDescent="0.2"/>
  <cols>
    <col min="1" max="1" width="8.42578125" bestFit="1" customWidth="1"/>
    <col min="2" max="2" width="71.7109375" bestFit="1" customWidth="1"/>
    <col min="3" max="3" width="17.140625" bestFit="1" customWidth="1"/>
  </cols>
  <sheetData>
    <row r="1" spans="1:3" ht="30" x14ac:dyDescent="0.4">
      <c r="A1" s="222" t="s">
        <v>34</v>
      </c>
      <c r="B1" s="222"/>
      <c r="C1" s="222"/>
    </row>
    <row r="2" spans="1:3" ht="18" x14ac:dyDescent="0.25">
      <c r="A2" s="25"/>
      <c r="B2" s="25"/>
      <c r="C2" s="25"/>
    </row>
    <row r="3" spans="1:3" ht="18" x14ac:dyDescent="0.25">
      <c r="A3" s="26"/>
      <c r="B3" s="26"/>
      <c r="C3" s="26"/>
    </row>
    <row r="4" spans="1:3" ht="18" x14ac:dyDescent="0.25">
      <c r="A4" s="27" t="s">
        <v>35</v>
      </c>
      <c r="B4" s="28" t="s">
        <v>36</v>
      </c>
      <c r="C4" s="28" t="s">
        <v>37</v>
      </c>
    </row>
    <row r="5" spans="1:3" ht="18" x14ac:dyDescent="0.25">
      <c r="A5" s="29"/>
      <c r="B5" s="30" t="s">
        <v>38</v>
      </c>
      <c r="C5" s="31">
        <v>25000</v>
      </c>
    </row>
    <row r="6" spans="1:3" ht="18" x14ac:dyDescent="0.25">
      <c r="A6" s="29"/>
      <c r="B6" s="30" t="s">
        <v>39</v>
      </c>
      <c r="C6" s="32">
        <v>60000</v>
      </c>
    </row>
    <row r="7" spans="1:3" ht="18" x14ac:dyDescent="0.25">
      <c r="A7" s="30"/>
      <c r="B7" s="30"/>
      <c r="C7" s="33">
        <f>SUM(C5:C6)</f>
        <v>85000</v>
      </c>
    </row>
    <row r="8" spans="1:3" ht="18" x14ac:dyDescent="0.25">
      <c r="A8" s="229"/>
      <c r="B8" s="230"/>
      <c r="C8" s="231"/>
    </row>
    <row r="9" spans="1:3" ht="18" x14ac:dyDescent="0.25">
      <c r="A9" s="27" t="s">
        <v>35</v>
      </c>
      <c r="B9" s="28" t="s">
        <v>40</v>
      </c>
      <c r="C9" s="28" t="s">
        <v>37</v>
      </c>
    </row>
    <row r="10" spans="1:3" ht="18" x14ac:dyDescent="0.25">
      <c r="A10" s="29"/>
      <c r="B10" s="30" t="s">
        <v>41</v>
      </c>
      <c r="C10" s="31">
        <v>200000</v>
      </c>
    </row>
    <row r="11" spans="1:3" ht="18" x14ac:dyDescent="0.25">
      <c r="A11" s="29"/>
      <c r="B11" s="30" t="s">
        <v>46</v>
      </c>
      <c r="C11" s="35" t="s">
        <v>47</v>
      </c>
    </row>
    <row r="12" spans="1:3" ht="18" x14ac:dyDescent="0.25">
      <c r="A12" s="29"/>
      <c r="B12" s="30" t="s">
        <v>42</v>
      </c>
      <c r="C12" s="32">
        <v>100000</v>
      </c>
    </row>
    <row r="13" spans="1:3" ht="18" x14ac:dyDescent="0.25">
      <c r="A13" s="29"/>
      <c r="B13" s="30" t="s">
        <v>43</v>
      </c>
      <c r="C13" s="32">
        <v>98000</v>
      </c>
    </row>
    <row r="14" spans="1:3" ht="18" x14ac:dyDescent="0.25">
      <c r="A14" s="29"/>
      <c r="B14" s="30" t="s">
        <v>44</v>
      </c>
      <c r="C14" s="32">
        <v>1500000</v>
      </c>
    </row>
    <row r="15" spans="1:3" ht="18" x14ac:dyDescent="0.25">
      <c r="A15" s="29"/>
      <c r="B15" s="30" t="s">
        <v>45</v>
      </c>
      <c r="C15" s="32">
        <v>100000</v>
      </c>
    </row>
    <row r="16" spans="1:3" ht="18" x14ac:dyDescent="0.25">
      <c r="A16" s="30"/>
      <c r="B16" s="30"/>
      <c r="C16" s="34">
        <f>SUM(C10:C15)</f>
        <v>1998000</v>
      </c>
    </row>
  </sheetData>
  <mergeCells count="2">
    <mergeCell ref="A1:C1"/>
    <mergeCell ref="A8:C8"/>
  </mergeCells>
  <phoneticPr fontId="3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workbookViewId="0"/>
  </sheetViews>
  <sheetFormatPr defaultRowHeight="12.75" x14ac:dyDescent="0.2"/>
  <cols>
    <col min="1" max="1" width="13.85546875" bestFit="1" customWidth="1"/>
    <col min="2" max="2" width="19.7109375" bestFit="1" customWidth="1"/>
    <col min="3" max="3" width="2" bestFit="1" customWidth="1"/>
    <col min="4" max="4" width="11.28515625" bestFit="1" customWidth="1"/>
    <col min="5" max="5" width="5.7109375" customWidth="1"/>
    <col min="6" max="6" width="11.28515625" bestFit="1" customWidth="1"/>
  </cols>
  <sheetData>
    <row r="2" spans="1:6" x14ac:dyDescent="0.2">
      <c r="A2" s="1" t="s">
        <v>81</v>
      </c>
      <c r="F2" s="19">
        <v>10000</v>
      </c>
    </row>
    <row r="4" spans="1:6" x14ac:dyDescent="0.2">
      <c r="A4" s="1" t="s">
        <v>5</v>
      </c>
    </row>
    <row r="5" spans="1:6" x14ac:dyDescent="0.2">
      <c r="B5" t="s">
        <v>27</v>
      </c>
      <c r="D5" s="16">
        <v>505984.16</v>
      </c>
    </row>
    <row r="6" spans="1:6" x14ac:dyDescent="0.2">
      <c r="B6" t="s">
        <v>28</v>
      </c>
      <c r="C6" s="17" t="s">
        <v>9</v>
      </c>
      <c r="D6" s="20">
        <v>1.47E-2</v>
      </c>
    </row>
    <row r="7" spans="1:6" x14ac:dyDescent="0.2">
      <c r="F7" s="19">
        <f>D5*D6</f>
        <v>7437.9671519999993</v>
      </c>
    </row>
    <row r="9" spans="1:6" x14ac:dyDescent="0.2">
      <c r="A9" s="1" t="s">
        <v>29</v>
      </c>
    </row>
    <row r="10" spans="1:6" x14ac:dyDescent="0.2">
      <c r="B10" t="s">
        <v>27</v>
      </c>
      <c r="D10" s="16">
        <v>505984.16</v>
      </c>
    </row>
    <row r="11" spans="1:6" x14ac:dyDescent="0.2">
      <c r="B11" t="s">
        <v>28</v>
      </c>
      <c r="C11" s="17" t="s">
        <v>9</v>
      </c>
      <c r="D11" s="20">
        <v>0</v>
      </c>
    </row>
    <row r="12" spans="1:6" x14ac:dyDescent="0.2">
      <c r="D12" s="18">
        <f>D10*D11</f>
        <v>0</v>
      </c>
    </row>
    <row r="13" spans="1:6" x14ac:dyDescent="0.2">
      <c r="B13" t="s">
        <v>30</v>
      </c>
      <c r="D13" s="18">
        <f>D12*0.0765</f>
        <v>0</v>
      </c>
    </row>
    <row r="14" spans="1:6" x14ac:dyDescent="0.2">
      <c r="B14" t="s">
        <v>18</v>
      </c>
      <c r="D14" s="21">
        <f>D12*0.1634</f>
        <v>0</v>
      </c>
    </row>
    <row r="15" spans="1:6" x14ac:dyDescent="0.2">
      <c r="F15" s="22">
        <f>SUM(D12:D14)</f>
        <v>0</v>
      </c>
    </row>
    <row r="17" spans="1:6" x14ac:dyDescent="0.2">
      <c r="A17" s="1" t="s">
        <v>10</v>
      </c>
      <c r="B17" t="s">
        <v>31</v>
      </c>
      <c r="D17" s="16">
        <v>17718</v>
      </c>
    </row>
    <row r="18" spans="1:6" x14ac:dyDescent="0.2">
      <c r="B18" t="s">
        <v>28</v>
      </c>
      <c r="C18" s="17" t="s">
        <v>9</v>
      </c>
      <c r="D18" s="20">
        <v>0.2</v>
      </c>
    </row>
    <row r="19" spans="1:6" x14ac:dyDescent="0.2">
      <c r="F19" s="23">
        <f>D17*D18</f>
        <v>3543.6000000000004</v>
      </c>
    </row>
    <row r="21" spans="1:6" x14ac:dyDescent="0.2">
      <c r="F21" s="24">
        <f>SUM(F2:F19)</f>
        <v>20981.567151999996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7" sqref="D17"/>
    </sheetView>
  </sheetViews>
  <sheetFormatPr defaultRowHeight="12.75" x14ac:dyDescent="0.2"/>
  <cols>
    <col min="1" max="1" width="7.28515625" customWidth="1"/>
    <col min="2" max="2" width="37" bestFit="1" customWidth="1"/>
    <col min="3" max="3" width="2.140625" bestFit="1" customWidth="1"/>
    <col min="4" max="4" width="14" style="16" bestFit="1" customWidth="1"/>
  </cols>
  <sheetData>
    <row r="1" spans="1:4" x14ac:dyDescent="0.2">
      <c r="A1" t="s">
        <v>101</v>
      </c>
    </row>
    <row r="2" spans="1:4" x14ac:dyDescent="0.2">
      <c r="B2" t="s">
        <v>102</v>
      </c>
      <c r="D2" s="154">
        <v>3359895</v>
      </c>
    </row>
    <row r="3" spans="1:4" x14ac:dyDescent="0.2">
      <c r="B3" t="s">
        <v>103</v>
      </c>
      <c r="D3" s="16">
        <v>50</v>
      </c>
    </row>
    <row r="4" spans="1:4" x14ac:dyDescent="0.2">
      <c r="B4" t="s">
        <v>104</v>
      </c>
      <c r="C4" t="s">
        <v>54</v>
      </c>
      <c r="D4" s="16">
        <v>164721</v>
      </c>
    </row>
    <row r="5" spans="1:4" x14ac:dyDescent="0.2">
      <c r="A5" t="s">
        <v>105</v>
      </c>
      <c r="D5" s="16">
        <v>3524666</v>
      </c>
    </row>
    <row r="7" spans="1:4" x14ac:dyDescent="0.2">
      <c r="A7" t="s">
        <v>106</v>
      </c>
      <c r="D7" s="16">
        <v>39437286.509999998</v>
      </c>
    </row>
    <row r="8" spans="1:4" x14ac:dyDescent="0.2">
      <c r="A8" t="s">
        <v>107</v>
      </c>
      <c r="C8" t="s">
        <v>21</v>
      </c>
      <c r="D8" s="151">
        <v>39205475.340000004</v>
      </c>
    </row>
    <row r="9" spans="1:4" x14ac:dyDescent="0.2">
      <c r="A9" t="s">
        <v>89</v>
      </c>
      <c r="D9" s="16">
        <f>D7-D8</f>
        <v>231811.16999999434</v>
      </c>
    </row>
    <row r="11" spans="1:4" x14ac:dyDescent="0.2">
      <c r="A11" t="s">
        <v>108</v>
      </c>
      <c r="D11" s="16">
        <f>D5+D9</f>
        <v>3756477.1699999943</v>
      </c>
    </row>
    <row r="12" spans="1:4" x14ac:dyDescent="0.2">
      <c r="B12" s="155" t="s">
        <v>104</v>
      </c>
      <c r="C12" s="155" t="s">
        <v>21</v>
      </c>
      <c r="D12" s="152">
        <v>126018.76</v>
      </c>
    </row>
    <row r="13" spans="1:4" x14ac:dyDescent="0.2">
      <c r="B13" s="155" t="s">
        <v>110</v>
      </c>
      <c r="C13" s="155" t="s">
        <v>21</v>
      </c>
      <c r="D13" s="152">
        <v>193944</v>
      </c>
    </row>
    <row r="14" spans="1:4" x14ac:dyDescent="0.2">
      <c r="B14" t="s">
        <v>103</v>
      </c>
      <c r="C14" t="s">
        <v>21</v>
      </c>
      <c r="D14" s="151">
        <v>50</v>
      </c>
    </row>
    <row r="16" spans="1:4" x14ac:dyDescent="0.2">
      <c r="A16" t="s">
        <v>109</v>
      </c>
      <c r="D16" s="154">
        <f>D11-D12-D13-D14</f>
        <v>3436464.4099999946</v>
      </c>
    </row>
    <row r="17" spans="4:4" x14ac:dyDescent="0.2">
      <c r="D17" s="153">
        <f>D16/D8</f>
        <v>8.7652665353450968E-2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opLeftCell="A4" zoomScale="75" workbookViewId="0">
      <selection activeCell="C14" sqref="C14"/>
    </sheetView>
  </sheetViews>
  <sheetFormatPr defaultRowHeight="18" x14ac:dyDescent="0.25"/>
  <cols>
    <col min="1" max="1" width="47.85546875" style="5" bestFit="1" customWidth="1"/>
    <col min="2" max="2" width="5.42578125" style="5" customWidth="1"/>
    <col min="3" max="3" width="22.140625" style="5" bestFit="1" customWidth="1"/>
    <col min="4" max="4" width="2.28515625" style="5" bestFit="1" customWidth="1"/>
    <col min="5" max="5" width="23.140625" style="5" bestFit="1" customWidth="1"/>
    <col min="6" max="16384" width="9.140625" style="5"/>
  </cols>
  <sheetData>
    <row r="1" spans="1:5" ht="23.25" x14ac:dyDescent="0.35">
      <c r="A1" s="219"/>
      <c r="B1" s="219"/>
      <c r="C1" s="219"/>
      <c r="D1" s="57"/>
      <c r="E1" s="57"/>
    </row>
    <row r="2" spans="1:5" ht="23.25" x14ac:dyDescent="0.35">
      <c r="A2" s="219"/>
      <c r="B2" s="219"/>
      <c r="C2" s="219"/>
      <c r="D2" s="57"/>
      <c r="E2" s="57"/>
    </row>
    <row r="3" spans="1:5" ht="35.25" x14ac:dyDescent="0.5">
      <c r="A3" s="220"/>
      <c r="B3" s="220"/>
      <c r="C3" s="220"/>
      <c r="D3" s="58"/>
      <c r="E3" s="58"/>
    </row>
    <row r="5" spans="1:5" x14ac:dyDescent="0.25">
      <c r="A5" s="110" t="s">
        <v>87</v>
      </c>
      <c r="B5" s="217">
        <v>125</v>
      </c>
      <c r="C5" s="218"/>
      <c r="D5" s="217">
        <v>175</v>
      </c>
      <c r="E5" s="218"/>
    </row>
    <row r="6" spans="1:5" x14ac:dyDescent="0.25">
      <c r="A6" s="111" t="s">
        <v>84</v>
      </c>
      <c r="B6" s="106"/>
      <c r="C6" s="100">
        <f>Worksheet!I6</f>
        <v>3756477.1699999943</v>
      </c>
      <c r="D6" s="114"/>
      <c r="E6" s="115">
        <f>C6</f>
        <v>3756477.1699999943</v>
      </c>
    </row>
    <row r="7" spans="1:5" x14ac:dyDescent="0.25">
      <c r="A7" s="112"/>
      <c r="B7" s="107"/>
      <c r="C7" s="101"/>
      <c r="D7" s="116"/>
      <c r="E7" s="117"/>
    </row>
    <row r="8" spans="1:5" x14ac:dyDescent="0.25">
      <c r="A8" s="112" t="s">
        <v>19</v>
      </c>
      <c r="B8" s="107"/>
      <c r="C8" s="102">
        <f>Worksheet!I22</f>
        <v>40349004.990000002</v>
      </c>
      <c r="D8" s="116"/>
      <c r="E8" s="118">
        <f>Worksheet!F22</f>
        <v>40683533.590000004</v>
      </c>
    </row>
    <row r="9" spans="1:5" x14ac:dyDescent="0.25">
      <c r="A9" s="112" t="s">
        <v>20</v>
      </c>
      <c r="B9" s="108" t="s">
        <v>21</v>
      </c>
      <c r="C9" s="103">
        <f>Worksheet!I42</f>
        <v>41354685.681913003</v>
      </c>
      <c r="D9" s="119" t="s">
        <v>21</v>
      </c>
      <c r="E9" s="120">
        <f>Worksheet!F42</f>
        <v>42269015.654761001</v>
      </c>
    </row>
    <row r="10" spans="1:5" x14ac:dyDescent="0.25">
      <c r="A10" s="112" t="s">
        <v>89</v>
      </c>
      <c r="B10" s="108"/>
      <c r="C10" s="102">
        <f>C8-C9</f>
        <v>-1005680.6919130012</v>
      </c>
      <c r="D10" s="119"/>
      <c r="E10" s="118">
        <f>E8-E9</f>
        <v>-1585482.0647609979</v>
      </c>
    </row>
    <row r="11" spans="1:5" x14ac:dyDescent="0.25">
      <c r="A11" s="112"/>
      <c r="B11" s="108"/>
      <c r="C11" s="102"/>
      <c r="D11" s="119"/>
      <c r="E11" s="117"/>
    </row>
    <row r="12" spans="1:5" x14ac:dyDescent="0.25">
      <c r="A12" s="112" t="s">
        <v>85</v>
      </c>
      <c r="B12" s="108"/>
      <c r="C12" s="104">
        <f>C6+C10</f>
        <v>2750796.4780869931</v>
      </c>
      <c r="D12" s="119"/>
      <c r="E12" s="121">
        <f>E6+E10</f>
        <v>2170995.1052389964</v>
      </c>
    </row>
    <row r="13" spans="1:5" x14ac:dyDescent="0.25">
      <c r="A13" s="113"/>
      <c r="B13" s="109"/>
      <c r="C13" s="105">
        <f>C12/C9</f>
        <v>6.6517165654340557E-2</v>
      </c>
      <c r="D13" s="122"/>
      <c r="E13" s="123">
        <f>E12/E9</f>
        <v>5.1361383074802328E-2</v>
      </c>
    </row>
  </sheetData>
  <mergeCells count="5">
    <mergeCell ref="B5:C5"/>
    <mergeCell ref="D5:E5"/>
    <mergeCell ref="A1:C1"/>
    <mergeCell ref="A2:C2"/>
    <mergeCell ref="A3:C3"/>
  </mergeCells>
  <phoneticPr fontId="3" type="noConversion"/>
  <printOptions horizontalCentered="1"/>
  <pageMargins left="0.75" right="0.75" top="0.64" bottom="0.69" header="0.28999999999999998" footer="0.3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4"/>
  <sheetViews>
    <sheetView topLeftCell="A4" workbookViewId="0">
      <selection activeCell="E12" sqref="E12"/>
    </sheetView>
  </sheetViews>
  <sheetFormatPr defaultRowHeight="23.25" x14ac:dyDescent="0.35"/>
  <cols>
    <col min="1" max="1" width="21.140625" style="124" customWidth="1"/>
    <col min="2" max="2" width="18.140625" style="124" bestFit="1" customWidth="1"/>
    <col min="3" max="3" width="14" style="124" bestFit="1" customWidth="1"/>
    <col min="4" max="4" width="14.28515625" style="124" bestFit="1" customWidth="1"/>
    <col min="5" max="16384" width="9.140625" style="124"/>
  </cols>
  <sheetData>
    <row r="5" spans="1:4" x14ac:dyDescent="0.35">
      <c r="A5" s="135"/>
      <c r="B5" s="125" t="s">
        <v>95</v>
      </c>
      <c r="C5" s="126" t="s">
        <v>94</v>
      </c>
      <c r="D5" s="127"/>
    </row>
    <row r="6" spans="1:4" x14ac:dyDescent="0.35">
      <c r="A6" s="135"/>
      <c r="B6" s="128" t="s">
        <v>22</v>
      </c>
      <c r="C6" s="129" t="s">
        <v>90</v>
      </c>
      <c r="D6" s="130" t="s">
        <v>96</v>
      </c>
    </row>
    <row r="7" spans="1:4" x14ac:dyDescent="0.35">
      <c r="A7" s="131" t="s">
        <v>72</v>
      </c>
      <c r="B7" s="132">
        <v>4878</v>
      </c>
      <c r="C7" s="133">
        <v>4988</v>
      </c>
      <c r="D7" s="134">
        <f>B7-C7</f>
        <v>-110</v>
      </c>
    </row>
    <row r="8" spans="1:4" x14ac:dyDescent="0.35">
      <c r="A8" s="131" t="s">
        <v>91</v>
      </c>
      <c r="B8" s="132">
        <v>4981</v>
      </c>
      <c r="C8" s="133">
        <v>4988</v>
      </c>
      <c r="D8" s="134">
        <f>B8-C8</f>
        <v>-7</v>
      </c>
    </row>
    <row r="9" spans="1:4" x14ac:dyDescent="0.35">
      <c r="A9" s="131" t="s">
        <v>74</v>
      </c>
      <c r="B9" s="132">
        <v>5088</v>
      </c>
      <c r="C9" s="133">
        <v>4988</v>
      </c>
      <c r="D9" s="134">
        <f>B9-C9</f>
        <v>100</v>
      </c>
    </row>
    <row r="10" spans="1:4" x14ac:dyDescent="0.35">
      <c r="A10" s="131" t="s">
        <v>92</v>
      </c>
      <c r="B10" s="132">
        <v>4947</v>
      </c>
      <c r="C10" s="133">
        <v>4988</v>
      </c>
      <c r="D10" s="134">
        <f>B10-C10</f>
        <v>-41</v>
      </c>
    </row>
    <row r="11" spans="1:4" x14ac:dyDescent="0.35">
      <c r="A11" s="131" t="s">
        <v>93</v>
      </c>
      <c r="B11" s="132">
        <f>((B9*2)+B8)/3</f>
        <v>5052.333333333333</v>
      </c>
      <c r="C11" s="133">
        <v>4988</v>
      </c>
      <c r="D11" s="134">
        <f>B11-C11</f>
        <v>64.33333333333303</v>
      </c>
    </row>
    <row r="12" spans="1:4" x14ac:dyDescent="0.35">
      <c r="A12" s="135"/>
      <c r="B12" s="135"/>
      <c r="C12" s="135"/>
      <c r="D12" s="135"/>
    </row>
    <row r="13" spans="1:4" x14ac:dyDescent="0.35">
      <c r="A13" s="136" t="s">
        <v>97</v>
      </c>
      <c r="B13" s="135"/>
      <c r="C13" s="135"/>
      <c r="D13" s="135"/>
    </row>
    <row r="14" spans="1:4" x14ac:dyDescent="0.35">
      <c r="A14" s="136" t="s">
        <v>98</v>
      </c>
      <c r="B14" s="135"/>
      <c r="C14" s="135"/>
      <c r="D14" s="135"/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sqref="A1:IV1"/>
    </sheetView>
  </sheetViews>
  <sheetFormatPr defaultRowHeight="15" x14ac:dyDescent="0.2"/>
  <cols>
    <col min="1" max="1" width="5.7109375" style="6" customWidth="1"/>
    <col min="2" max="2" width="30.28515625" style="6" bestFit="1" customWidth="1"/>
    <col min="3" max="3" width="9.140625" style="6"/>
    <col min="4" max="4" width="18.85546875" style="6" bestFit="1" customWidth="1"/>
    <col min="5" max="16384" width="9.140625" style="6"/>
  </cols>
  <sheetData>
    <row r="1" spans="1:4" ht="18" x14ac:dyDescent="0.25">
      <c r="A1" s="221" t="s">
        <v>22</v>
      </c>
      <c r="B1" s="221"/>
      <c r="C1" s="221"/>
      <c r="D1" s="221"/>
    </row>
    <row r="2" spans="1:4" ht="30" x14ac:dyDescent="0.4">
      <c r="A2" s="222" t="s">
        <v>23</v>
      </c>
      <c r="B2" s="222"/>
      <c r="C2" s="222"/>
      <c r="D2" s="222"/>
    </row>
    <row r="6" spans="1:4" ht="15.75" x14ac:dyDescent="0.25">
      <c r="A6" s="7" t="s">
        <v>5</v>
      </c>
    </row>
    <row r="7" spans="1:4" x14ac:dyDescent="0.2">
      <c r="B7" s="6" t="s">
        <v>7</v>
      </c>
      <c r="D7" s="8">
        <v>23812833.91</v>
      </c>
    </row>
    <row r="8" spans="1:4" ht="15.75" x14ac:dyDescent="0.25">
      <c r="B8" s="9" t="s">
        <v>8</v>
      </c>
      <c r="C8" s="10" t="s">
        <v>9</v>
      </c>
      <c r="D8" s="11">
        <v>1.47E-2</v>
      </c>
    </row>
    <row r="9" spans="1:4" x14ac:dyDescent="0.2">
      <c r="D9" s="12">
        <f>D7*D8</f>
        <v>350048.65847700002</v>
      </c>
    </row>
    <row r="11" spans="1:4" ht="15.75" x14ac:dyDescent="0.25">
      <c r="A11" s="7" t="s">
        <v>10</v>
      </c>
    </row>
    <row r="12" spans="1:4" x14ac:dyDescent="0.2">
      <c r="B12" s="6" t="s">
        <v>11</v>
      </c>
      <c r="D12" s="8">
        <v>3700000</v>
      </c>
    </row>
    <row r="13" spans="1:4" ht="15.75" x14ac:dyDescent="0.25">
      <c r="B13" s="9" t="s">
        <v>8</v>
      </c>
      <c r="C13" s="10" t="s">
        <v>9</v>
      </c>
      <c r="D13" s="11">
        <v>0.15</v>
      </c>
    </row>
    <row r="14" spans="1:4" x14ac:dyDescent="0.2">
      <c r="D14" s="12">
        <f>D12*D13</f>
        <v>555000</v>
      </c>
    </row>
    <row r="16" spans="1:4" ht="15.75" x14ac:dyDescent="0.25">
      <c r="A16" s="7" t="s">
        <v>15</v>
      </c>
    </row>
    <row r="17" spans="1:4" x14ac:dyDescent="0.2">
      <c r="B17" s="6" t="s">
        <v>16</v>
      </c>
      <c r="D17" s="8">
        <f>23456305.9046-389729.99</f>
        <v>23066575.9146</v>
      </c>
    </row>
    <row r="18" spans="1:4" ht="15.75" x14ac:dyDescent="0.25">
      <c r="B18" s="9" t="s">
        <v>8</v>
      </c>
      <c r="C18" s="10" t="s">
        <v>9</v>
      </c>
      <c r="D18" s="11">
        <v>0</v>
      </c>
    </row>
    <row r="19" spans="1:4" x14ac:dyDescent="0.2">
      <c r="D19" s="13">
        <f>D17*D18</f>
        <v>0</v>
      </c>
    </row>
    <row r="20" spans="1:4" x14ac:dyDescent="0.2">
      <c r="B20" s="6" t="s">
        <v>17</v>
      </c>
      <c r="D20" s="14">
        <f>ROUND(D19*0.0765,2)</f>
        <v>0</v>
      </c>
    </row>
    <row r="21" spans="1:4" x14ac:dyDescent="0.2">
      <c r="B21" s="6" t="s">
        <v>18</v>
      </c>
      <c r="D21" s="15">
        <f>ROUND(D19*0.1634,2)</f>
        <v>0</v>
      </c>
    </row>
    <row r="22" spans="1:4" x14ac:dyDescent="0.2">
      <c r="D22" s="8">
        <f>SUM(D19:D21)</f>
        <v>0</v>
      </c>
    </row>
    <row r="24" spans="1:4" ht="15.75" x14ac:dyDescent="0.25">
      <c r="A24" s="2" t="s">
        <v>56</v>
      </c>
      <c r="D24" s="4">
        <f>D9+D14+D22</f>
        <v>905048.65847699996</v>
      </c>
    </row>
  </sheetData>
  <mergeCells count="2">
    <mergeCell ref="A1:D1"/>
    <mergeCell ref="A2:D2"/>
  </mergeCells>
  <phoneticPr fontId="3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sqref="A1:IV1"/>
    </sheetView>
  </sheetViews>
  <sheetFormatPr defaultRowHeight="20.25" x14ac:dyDescent="0.3"/>
  <cols>
    <col min="1" max="1" width="27.5703125" style="59" customWidth="1"/>
    <col min="2" max="4" width="19.7109375" style="59" customWidth="1"/>
    <col min="5" max="5" width="20" style="59" bestFit="1" customWidth="1"/>
    <col min="6" max="16384" width="9.140625" style="59"/>
  </cols>
  <sheetData>
    <row r="1" spans="1:5" x14ac:dyDescent="0.3">
      <c r="A1" s="227" t="s">
        <v>22</v>
      </c>
      <c r="B1" s="227"/>
      <c r="C1" s="227"/>
      <c r="D1" s="227"/>
      <c r="E1" s="227"/>
    </row>
    <row r="2" spans="1:5" ht="30" x14ac:dyDescent="0.4">
      <c r="A2" s="222" t="s">
        <v>76</v>
      </c>
      <c r="B2" s="222"/>
      <c r="C2" s="222"/>
      <c r="D2" s="222"/>
      <c r="E2" s="222"/>
    </row>
    <row r="6" spans="1:5" x14ac:dyDescent="0.3">
      <c r="A6" s="65"/>
      <c r="B6" s="78" t="s">
        <v>72</v>
      </c>
      <c r="C6" s="78" t="s">
        <v>73</v>
      </c>
      <c r="D6" s="78" t="s">
        <v>74</v>
      </c>
      <c r="E6" s="64" t="s">
        <v>78</v>
      </c>
    </row>
    <row r="7" spans="1:5" x14ac:dyDescent="0.3">
      <c r="A7" s="61" t="s">
        <v>71</v>
      </c>
      <c r="B7" s="66">
        <v>125</v>
      </c>
      <c r="C7" s="67">
        <v>150</v>
      </c>
      <c r="D7" s="82">
        <v>175</v>
      </c>
      <c r="E7" s="69"/>
    </row>
    <row r="8" spans="1:5" x14ac:dyDescent="0.3">
      <c r="A8" s="62" t="s">
        <v>75</v>
      </c>
      <c r="B8" s="66">
        <v>249634</v>
      </c>
      <c r="C8" s="67">
        <v>382847</v>
      </c>
      <c r="D8" s="82">
        <v>516672</v>
      </c>
      <c r="E8" s="70">
        <f>D8</f>
        <v>516672</v>
      </c>
    </row>
    <row r="9" spans="1:5" x14ac:dyDescent="0.3">
      <c r="A9" s="224" t="s">
        <v>58</v>
      </c>
      <c r="B9" s="71">
        <v>0.14000000000000001</v>
      </c>
      <c r="C9" s="79">
        <v>0.15</v>
      </c>
      <c r="D9" s="72">
        <v>0.16</v>
      </c>
      <c r="E9" s="73"/>
    </row>
    <row r="10" spans="1:5" x14ac:dyDescent="0.3">
      <c r="A10" s="225"/>
      <c r="B10" s="67">
        <v>-518000</v>
      </c>
      <c r="C10" s="80">
        <v>-555000</v>
      </c>
      <c r="D10" s="68">
        <v>-592000</v>
      </c>
      <c r="E10" s="74">
        <f>C10</f>
        <v>-555000</v>
      </c>
    </row>
    <row r="11" spans="1:5" x14ac:dyDescent="0.3">
      <c r="A11" s="226" t="s">
        <v>29</v>
      </c>
      <c r="B11" s="81">
        <v>0</v>
      </c>
      <c r="C11" s="83">
        <v>0.01</v>
      </c>
      <c r="D11" s="76">
        <v>0.02</v>
      </c>
      <c r="E11" s="73"/>
    </row>
    <row r="12" spans="1:5" x14ac:dyDescent="0.3">
      <c r="A12" s="226"/>
      <c r="B12" s="80">
        <v>0</v>
      </c>
      <c r="C12" s="84">
        <f>D12/2</f>
        <v>-286002.5</v>
      </c>
      <c r="D12" s="68">
        <v>-572005</v>
      </c>
      <c r="E12" s="70">
        <f>B12</f>
        <v>0</v>
      </c>
    </row>
    <row r="13" spans="1:5" x14ac:dyDescent="0.3">
      <c r="A13" s="223" t="s">
        <v>5</v>
      </c>
      <c r="B13" s="75">
        <v>0.16339999999999999</v>
      </c>
      <c r="C13" s="81">
        <v>0.16339999999999999</v>
      </c>
      <c r="D13" s="75">
        <v>0.16339999999999999</v>
      </c>
      <c r="E13" s="73"/>
    </row>
    <row r="14" spans="1:5" x14ac:dyDescent="0.3">
      <c r="A14" s="224"/>
      <c r="B14" s="67">
        <v>-350049</v>
      </c>
      <c r="C14" s="80">
        <v>-350049</v>
      </c>
      <c r="D14" s="67">
        <v>-350049</v>
      </c>
      <c r="E14" s="77">
        <f>D14</f>
        <v>-350049</v>
      </c>
    </row>
    <row r="15" spans="1:5" x14ac:dyDescent="0.3">
      <c r="E15" s="63">
        <f>SUM(E8:E14)</f>
        <v>-388377</v>
      </c>
    </row>
    <row r="18" spans="1:1" x14ac:dyDescent="0.3">
      <c r="A18" s="60" t="s">
        <v>77</v>
      </c>
    </row>
  </sheetData>
  <mergeCells count="5">
    <mergeCell ref="A13:A14"/>
    <mergeCell ref="A9:A10"/>
    <mergeCell ref="A11:A12"/>
    <mergeCell ref="A1:E1"/>
    <mergeCell ref="A2:E2"/>
  </mergeCells>
  <phoneticPr fontId="3" type="noConversion"/>
  <printOptions horizontalCentered="1" verticalCentered="1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0"/>
  <sheetViews>
    <sheetView workbookViewId="0">
      <selection activeCell="A15" sqref="A15"/>
    </sheetView>
  </sheetViews>
  <sheetFormatPr defaultRowHeight="12.75" x14ac:dyDescent="0.2"/>
  <cols>
    <col min="1" max="1" width="27.42578125" bestFit="1" customWidth="1"/>
  </cols>
  <sheetData>
    <row r="6" spans="1:3" ht="13.5" thickBot="1" x14ac:dyDescent="0.25"/>
    <row r="7" spans="1:3" x14ac:dyDescent="0.2">
      <c r="A7" s="45" t="s">
        <v>67</v>
      </c>
      <c r="B7" s="46"/>
      <c r="C7" s="47">
        <v>175</v>
      </c>
    </row>
    <row r="8" spans="1:3" x14ac:dyDescent="0.2">
      <c r="A8" s="48" t="s">
        <v>68</v>
      </c>
      <c r="B8" s="49" t="s">
        <v>21</v>
      </c>
      <c r="C8" s="50">
        <v>65.39</v>
      </c>
    </row>
    <row r="9" spans="1:3" x14ac:dyDescent="0.2">
      <c r="A9" s="55" t="s">
        <v>69</v>
      </c>
      <c r="B9" s="56" t="s">
        <v>21</v>
      </c>
      <c r="C9" s="51">
        <v>103.68</v>
      </c>
    </row>
    <row r="10" spans="1:3" ht="16.5" thickBot="1" x14ac:dyDescent="0.3">
      <c r="A10" s="52" t="s">
        <v>70</v>
      </c>
      <c r="B10" s="53"/>
      <c r="C10" s="54">
        <f>C7-C8-C9</f>
        <v>5.9299999999999926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6"/>
  <sheetViews>
    <sheetView workbookViewId="0"/>
  </sheetViews>
  <sheetFormatPr defaultRowHeight="18" x14ac:dyDescent="0.25"/>
  <cols>
    <col min="1" max="1" width="70.42578125" style="5" bestFit="1" customWidth="1"/>
  </cols>
  <sheetData>
    <row r="3" spans="1:1" ht="18.75" thickBot="1" x14ac:dyDescent="0.3"/>
    <row r="4" spans="1:1" ht="24" thickBot="1" x14ac:dyDescent="0.4">
      <c r="A4" s="44" t="s">
        <v>63</v>
      </c>
    </row>
    <row r="5" spans="1:1" x14ac:dyDescent="0.25">
      <c r="A5" s="40" t="s">
        <v>57</v>
      </c>
    </row>
    <row r="6" spans="1:1" x14ac:dyDescent="0.25">
      <c r="A6" s="41" t="s">
        <v>58</v>
      </c>
    </row>
    <row r="7" spans="1:1" x14ac:dyDescent="0.25">
      <c r="A7" s="41" t="s">
        <v>59</v>
      </c>
    </row>
    <row r="8" spans="1:1" x14ac:dyDescent="0.25">
      <c r="A8" s="41" t="s">
        <v>66</v>
      </c>
    </row>
    <row r="9" spans="1:1" x14ac:dyDescent="0.25">
      <c r="A9" s="41" t="s">
        <v>60</v>
      </c>
    </row>
    <row r="10" spans="1:1" ht="18.75" thickBot="1" x14ac:dyDescent="0.3">
      <c r="A10" s="42" t="s">
        <v>2</v>
      </c>
    </row>
    <row r="11" spans="1:1" ht="18.75" thickBot="1" x14ac:dyDescent="0.3">
      <c r="A11" s="39"/>
    </row>
    <row r="12" spans="1:1" ht="24" thickBot="1" x14ac:dyDescent="0.4">
      <c r="A12" s="43" t="s">
        <v>64</v>
      </c>
    </row>
    <row r="13" spans="1:1" x14ac:dyDescent="0.25">
      <c r="A13" s="40" t="s">
        <v>61</v>
      </c>
    </row>
    <row r="14" spans="1:1" x14ac:dyDescent="0.25">
      <c r="A14" s="41" t="s">
        <v>62</v>
      </c>
    </row>
    <row r="15" spans="1:1" x14ac:dyDescent="0.25">
      <c r="A15" s="41" t="s">
        <v>53</v>
      </c>
    </row>
    <row r="16" spans="1:1" ht="18.75" thickBot="1" x14ac:dyDescent="0.3">
      <c r="A16" s="42" t="s">
        <v>65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IV1"/>
    </sheetView>
  </sheetViews>
  <sheetFormatPr defaultRowHeight="18" x14ac:dyDescent="0.25"/>
  <cols>
    <col min="1" max="1" width="37.7109375" style="26" bestFit="1" customWidth="1"/>
    <col min="2" max="3" width="18.85546875" style="26" bestFit="1" customWidth="1"/>
    <col min="4" max="16384" width="9.140625" style="26"/>
  </cols>
  <sheetData>
    <row r="1" spans="1:3" x14ac:dyDescent="0.25">
      <c r="A1" s="221" t="s">
        <v>22</v>
      </c>
      <c r="B1" s="221"/>
      <c r="C1" s="221"/>
    </row>
    <row r="2" spans="1:3" ht="30" x14ac:dyDescent="0.4">
      <c r="A2" s="228" t="s">
        <v>50</v>
      </c>
      <c r="B2" s="228"/>
      <c r="C2" s="228"/>
    </row>
    <row r="6" spans="1:3" x14ac:dyDescent="0.25">
      <c r="A6" s="28" t="s">
        <v>48</v>
      </c>
      <c r="B6" s="28" t="s">
        <v>49</v>
      </c>
      <c r="C6" s="28" t="s">
        <v>37</v>
      </c>
    </row>
    <row r="7" spans="1:3" x14ac:dyDescent="0.25">
      <c r="A7" s="36" t="s">
        <v>51</v>
      </c>
      <c r="B7" s="38">
        <f>[1]Sheet1!$E$31</f>
        <v>266000</v>
      </c>
      <c r="C7" s="38">
        <f>B7</f>
        <v>266000</v>
      </c>
    </row>
    <row r="8" spans="1:3" x14ac:dyDescent="0.25">
      <c r="A8" s="36" t="s">
        <v>52</v>
      </c>
      <c r="B8" s="37">
        <v>12000</v>
      </c>
      <c r="C8" s="37">
        <f>C7+B8</f>
        <v>278000</v>
      </c>
    </row>
    <row r="9" spans="1:3" x14ac:dyDescent="0.25">
      <c r="A9" s="36" t="s">
        <v>53</v>
      </c>
      <c r="B9" s="37"/>
      <c r="C9" s="37">
        <f>C8+B9</f>
        <v>278000</v>
      </c>
    </row>
    <row r="10" spans="1:3" x14ac:dyDescent="0.25">
      <c r="A10" s="36"/>
      <c r="B10" s="37"/>
      <c r="C10" s="37"/>
    </row>
    <row r="11" spans="1:3" x14ac:dyDescent="0.25">
      <c r="A11" s="36"/>
      <c r="B11" s="37"/>
      <c r="C11" s="37"/>
    </row>
  </sheetData>
  <mergeCells count="2">
    <mergeCell ref="A1:C1"/>
    <mergeCell ref="A2:C2"/>
  </mergeCells>
  <phoneticPr fontId="3" type="noConversion"/>
  <printOptions horizontalCentered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Worksheet</vt:lpstr>
      <vt:lpstr>Sheet2</vt:lpstr>
      <vt:lpstr>Summary</vt:lpstr>
      <vt:lpstr>Sheet1</vt:lpstr>
      <vt:lpstr>Compensation</vt:lpstr>
      <vt:lpstr>Negotiations Grid</vt:lpstr>
      <vt:lpstr>PPFG</vt:lpstr>
      <vt:lpstr>Future Needs</vt:lpstr>
      <vt:lpstr>Wish List</vt:lpstr>
      <vt:lpstr>Class Cuts</vt:lpstr>
      <vt:lpstr>Athletics</vt:lpstr>
      <vt:lpstr>'Class Cuts'!Print_Area</vt:lpstr>
      <vt:lpstr>Compensation!Print_Area</vt:lpstr>
      <vt:lpstr>'Negotiations Grid'!Print_Area</vt:lpstr>
      <vt:lpstr>Summary!Print_Area</vt:lpstr>
      <vt:lpstr>'Wish List'!Print_Area</vt:lpstr>
      <vt:lpstr>Worksheet!Print_Area</vt:lpstr>
    </vt:vector>
  </TitlesOfParts>
  <Company>Grand Ledge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Pat Korloch</cp:lastModifiedBy>
  <cp:lastPrinted>2007-11-12T14:29:46Z</cp:lastPrinted>
  <dcterms:created xsi:type="dcterms:W3CDTF">2005-01-31T15:36:06Z</dcterms:created>
  <dcterms:modified xsi:type="dcterms:W3CDTF">2014-04-10T20:23:31Z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-1095080393</vt:i4>
  </property>
  <property fmtid="{D5CDD505-2E9C-101B-9397-08002B2CF9AE}" pid="3" name="_EmailSubject">
    <vt:lpwstr>Library File - Finance</vt:lpwstr>
  </property>
  <property fmtid="{D5CDD505-2E9C-101B-9397-08002B2CF9AE}" pid="4" name="_AuthorEmail">
    <vt:lpwstr>tblackmer@msbo.org</vt:lpwstr>
  </property>
  <property fmtid="{D5CDD505-2E9C-101B-9397-08002B2CF9AE}" pid="5" name="_AuthorEmailDisplayName">
    <vt:lpwstr>Trudy Blackmer</vt:lpwstr>
  </property>
  <property fmtid="{D5CDD505-2E9C-101B-9397-08002B2CF9AE}" pid="6" name="_ReviewingToolsShownOnce">
    <vt:lpwstr/>
  </property>
</Properties>
</file>