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120" windowWidth="12120" windowHeight="8835"/>
  </bookViews>
  <sheets>
    <sheet name="A" sheetId="1" r:id="rId1"/>
    <sheet name="B" sheetId="2" r:id="rId2"/>
  </sheets>
  <definedNames>
    <definedName name="_1">A!$A$10:$M$193</definedName>
    <definedName name="_2">A!$A$55:$M$100</definedName>
    <definedName name="_3">A!$A$103:$M$193</definedName>
    <definedName name="_4">A!$A$104:$M$146</definedName>
    <definedName name="_6">A!$A$151:$M$189</definedName>
    <definedName name="_8">A!$A$191:$M$193</definedName>
    <definedName name="C_">A!$F$7</definedName>
    <definedName name="D">A!$M$73</definedName>
    <definedName name="_xlnm.Print_Area" localSheetId="0">A!$A$1:$M$192</definedName>
    <definedName name="_xlnm.Print_Area" localSheetId="1">B!$A$1:$N$51</definedName>
    <definedName name="Print_Area_MI" localSheetId="0">A!$A$1:$M$193</definedName>
    <definedName name="_xlnm.Print_Titles" localSheetId="0">A!$1:$9</definedName>
    <definedName name="Print_Titles_MI" localSheetId="0">A!$1:$9</definedName>
    <definedName name="W">A!#REF!</definedName>
    <definedName name="X">A!$C$8</definedName>
    <definedName name="Y">A!#REF!</definedName>
    <definedName name="Z">A!$B$140:$E$145</definedName>
  </definedNames>
  <calcPr calcId="145621" fullCalcOnLoad="1"/>
</workbook>
</file>

<file path=xl/calcChain.xml><?xml version="1.0" encoding="utf-8"?>
<calcChain xmlns="http://schemas.openxmlformats.org/spreadsheetml/2006/main">
  <c r="E16" i="1" l="1"/>
  <c r="U24" i="1"/>
  <c r="U28" i="1" s="1"/>
  <c r="U43" i="1" s="1"/>
  <c r="K28" i="1" s="1"/>
  <c r="U26" i="1"/>
  <c r="U25" i="1"/>
  <c r="G117" i="1"/>
  <c r="S28" i="1"/>
  <c r="Y28" i="1"/>
  <c r="S43" i="1"/>
  <c r="S41" i="1"/>
  <c r="S40" i="1"/>
  <c r="S39" i="1"/>
  <c r="S19" i="1"/>
  <c r="Y19" i="1"/>
  <c r="S34" i="1"/>
  <c r="S32" i="1"/>
  <c r="S31" i="1"/>
  <c r="S30" i="1"/>
  <c r="K73" i="1"/>
  <c r="K74" i="1"/>
  <c r="K75" i="1"/>
  <c r="G76" i="1"/>
  <c r="K76" i="1"/>
  <c r="K77" i="1"/>
  <c r="K78" i="1"/>
  <c r="K79" i="1"/>
  <c r="K80" i="1"/>
  <c r="M80" i="1" s="1"/>
  <c r="K81" i="1"/>
  <c r="K82" i="1"/>
  <c r="M82" i="1" s="1"/>
  <c r="K83" i="1"/>
  <c r="K84" i="1"/>
  <c r="K85" i="1"/>
  <c r="K86" i="1"/>
  <c r="K87" i="1"/>
  <c r="K88" i="1"/>
  <c r="M88" i="1" s="1"/>
  <c r="K89" i="1"/>
  <c r="K91" i="1"/>
  <c r="G94" i="1" s="1"/>
  <c r="E185" i="1"/>
  <c r="R26" i="1"/>
  <c r="R25" i="1"/>
  <c r="R28" i="1" s="1"/>
  <c r="R43" i="1" s="1"/>
  <c r="R24" i="1"/>
  <c r="K163" i="1"/>
  <c r="Q24" i="1"/>
  <c r="Q25" i="1"/>
  <c r="Q40" i="1" s="1"/>
  <c r="Q26" i="1"/>
  <c r="Q28" i="1"/>
  <c r="Q43" i="1" s="1"/>
  <c r="Q41" i="1"/>
  <c r="Q39" i="1"/>
  <c r="Q19" i="1"/>
  <c r="Q34" i="1"/>
  <c r="Q32" i="1"/>
  <c r="Q31" i="1"/>
  <c r="Q30" i="1"/>
  <c r="L13" i="2"/>
  <c r="H29" i="2"/>
  <c r="H27" i="2"/>
  <c r="H42" i="2" s="1"/>
  <c r="H47" i="2" s="1"/>
  <c r="M63" i="1"/>
  <c r="E141" i="1"/>
  <c r="G186" i="1"/>
  <c r="G142" i="1"/>
  <c r="K177" i="1"/>
  <c r="K132" i="1"/>
  <c r="M132" i="1" s="1"/>
  <c r="K129" i="1"/>
  <c r="K116" i="1"/>
  <c r="N19" i="2"/>
  <c r="N20" i="2"/>
  <c r="N18" i="2"/>
  <c r="N29" i="2"/>
  <c r="J22" i="2"/>
  <c r="J50" i="2" s="1"/>
  <c r="N27" i="2"/>
  <c r="N42" i="2"/>
  <c r="N47" i="2" s="1"/>
  <c r="N22" i="2"/>
  <c r="H22" i="2"/>
  <c r="H50" i="2" s="1"/>
  <c r="J42" i="2"/>
  <c r="L42" i="2" s="1"/>
  <c r="L45" i="2"/>
  <c r="J44" i="2"/>
  <c r="L44" i="2" s="1"/>
  <c r="J47" i="2"/>
  <c r="L10" i="2"/>
  <c r="L9" i="2"/>
  <c r="L8" i="2"/>
  <c r="L20" i="2"/>
  <c r="L19" i="2"/>
  <c r="L18" i="2"/>
  <c r="E22" i="2"/>
  <c r="E50" i="2" s="1"/>
  <c r="E42" i="2"/>
  <c r="E47" i="2"/>
  <c r="L47" i="2"/>
  <c r="L40" i="2"/>
  <c r="L39" i="2"/>
  <c r="L37" i="2"/>
  <c r="L34" i="2"/>
  <c r="L33" i="2"/>
  <c r="L32" i="2"/>
  <c r="L31" i="2"/>
  <c r="L30" i="2"/>
  <c r="L29" i="2"/>
  <c r="L28" i="2"/>
  <c r="L27" i="2"/>
  <c r="L16" i="2"/>
  <c r="L15" i="2"/>
  <c r="L14" i="2"/>
  <c r="L12" i="2"/>
  <c r="L11" i="2"/>
  <c r="G93" i="1"/>
  <c r="K115" i="1"/>
  <c r="M115" i="1" s="1"/>
  <c r="G185" i="1"/>
  <c r="G141" i="1"/>
  <c r="K69" i="1"/>
  <c r="R41" i="1"/>
  <c r="R40" i="1"/>
  <c r="R39" i="1"/>
  <c r="R19" i="1"/>
  <c r="R34" i="1" s="1"/>
  <c r="R32" i="1"/>
  <c r="R31" i="1"/>
  <c r="R30" i="1"/>
  <c r="K120" i="1"/>
  <c r="M120" i="1"/>
  <c r="X28" i="1"/>
  <c r="X43" i="1"/>
  <c r="X41" i="1"/>
  <c r="X40" i="1"/>
  <c r="X39" i="1"/>
  <c r="X19" i="1"/>
  <c r="X34" i="1" s="1"/>
  <c r="X32" i="1"/>
  <c r="X31" i="1"/>
  <c r="X30" i="1"/>
  <c r="W28" i="1"/>
  <c r="W43" i="1"/>
  <c r="W41" i="1"/>
  <c r="W40" i="1"/>
  <c r="W39" i="1"/>
  <c r="W19" i="1"/>
  <c r="W34" i="1" s="1"/>
  <c r="W31" i="1"/>
  <c r="W32" i="1"/>
  <c r="W30" i="1"/>
  <c r="U41" i="1"/>
  <c r="K26" i="1" s="1"/>
  <c r="U40" i="1"/>
  <c r="K25" i="1" s="1"/>
  <c r="U19" i="1"/>
  <c r="U34" i="1" s="1"/>
  <c r="K19" i="1" s="1"/>
  <c r="U31" i="1"/>
  <c r="K16" i="1" s="1"/>
  <c r="U32" i="1"/>
  <c r="K17" i="1" s="1"/>
  <c r="U30" i="1"/>
  <c r="K15" i="1" s="1"/>
  <c r="K124" i="1"/>
  <c r="K125" i="1"/>
  <c r="K114" i="1"/>
  <c r="K117" i="1"/>
  <c r="K118" i="1"/>
  <c r="K119" i="1"/>
  <c r="M119" i="1" s="1"/>
  <c r="K121" i="1"/>
  <c r="K122" i="1"/>
  <c r="K123" i="1"/>
  <c r="K126" i="1"/>
  <c r="M126" i="1" s="1"/>
  <c r="K127" i="1"/>
  <c r="K128" i="1"/>
  <c r="M128" i="1" s="1"/>
  <c r="K130" i="1"/>
  <c r="K131" i="1"/>
  <c r="M131" i="1" s="1"/>
  <c r="K133" i="1"/>
  <c r="K134" i="1"/>
  <c r="K135" i="1"/>
  <c r="K136" i="1"/>
  <c r="M136" i="1" s="1"/>
  <c r="G138" i="1"/>
  <c r="G144" i="1" s="1"/>
  <c r="G140" i="1"/>
  <c r="K142" i="1"/>
  <c r="M142" i="1" s="1"/>
  <c r="G91" i="1"/>
  <c r="G182" i="1"/>
  <c r="G188" i="1" s="1"/>
  <c r="G191" i="1" s="1"/>
  <c r="G184" i="1"/>
  <c r="O88" i="1"/>
  <c r="O43" i="1"/>
  <c r="O41" i="1"/>
  <c r="O40" i="1"/>
  <c r="O39" i="1"/>
  <c r="K141" i="1"/>
  <c r="M141" i="1" s="1"/>
  <c r="K185" i="1"/>
  <c r="M185" i="1" s="1"/>
  <c r="K167" i="1"/>
  <c r="K186" i="1"/>
  <c r="T39" i="1"/>
  <c r="V39" i="1"/>
  <c r="T40" i="1"/>
  <c r="V40" i="1"/>
  <c r="T41" i="1"/>
  <c r="V41" i="1"/>
  <c r="T28" i="1"/>
  <c r="T43" i="1" s="1"/>
  <c r="V28" i="1"/>
  <c r="V43" i="1" s="1"/>
  <c r="P28" i="1"/>
  <c r="P43" i="1" s="1"/>
  <c r="P40" i="1"/>
  <c r="P41" i="1"/>
  <c r="P39" i="1"/>
  <c r="T19" i="1"/>
  <c r="T34" i="1"/>
  <c r="V19" i="1"/>
  <c r="V34" i="1"/>
  <c r="P19" i="1"/>
  <c r="P34" i="1"/>
  <c r="T30" i="1"/>
  <c r="V30" i="1"/>
  <c r="T31" i="1"/>
  <c r="V31" i="1"/>
  <c r="T32" i="1"/>
  <c r="V32" i="1"/>
  <c r="P31" i="1"/>
  <c r="P32" i="1"/>
  <c r="P30" i="1"/>
  <c r="O74" i="1"/>
  <c r="M74" i="1"/>
  <c r="K161" i="1"/>
  <c r="K182" i="1" s="1"/>
  <c r="K188" i="1" s="1"/>
  <c r="K162" i="1"/>
  <c r="K164" i="1"/>
  <c r="M164" i="1" s="1"/>
  <c r="K165" i="1"/>
  <c r="K166" i="1"/>
  <c r="K168" i="1"/>
  <c r="K169" i="1"/>
  <c r="M169" i="1" s="1"/>
  <c r="K170" i="1"/>
  <c r="K171" i="1"/>
  <c r="M171" i="1" s="1"/>
  <c r="K172" i="1"/>
  <c r="K173" i="1"/>
  <c r="M173" i="1" s="1"/>
  <c r="K174" i="1"/>
  <c r="K175" i="1"/>
  <c r="M175" i="1" s="1"/>
  <c r="K176" i="1"/>
  <c r="K178" i="1"/>
  <c r="M178" i="1" s="1"/>
  <c r="K179" i="1"/>
  <c r="K180" i="1"/>
  <c r="K184" i="1"/>
  <c r="M184" i="1" s="1"/>
  <c r="E182" i="1"/>
  <c r="E188" i="1"/>
  <c r="E191" i="1" s="1"/>
  <c r="I182" i="1"/>
  <c r="I186" i="1"/>
  <c r="I188" i="1" s="1"/>
  <c r="M186" i="1"/>
  <c r="P184" i="1"/>
  <c r="AC182" i="1"/>
  <c r="AB182" i="1"/>
  <c r="AA182" i="1"/>
  <c r="Z182" i="1"/>
  <c r="Y178" i="1"/>
  <c r="Y182" i="1"/>
  <c r="T178" i="1"/>
  <c r="T182" i="1"/>
  <c r="S182" i="1"/>
  <c r="R182" i="1"/>
  <c r="Q182" i="1"/>
  <c r="P182" i="1"/>
  <c r="O182" i="1"/>
  <c r="M182" i="1"/>
  <c r="O180" i="1"/>
  <c r="M180" i="1"/>
  <c r="M179" i="1"/>
  <c r="O178" i="1"/>
  <c r="M176" i="1"/>
  <c r="M174" i="1"/>
  <c r="M172" i="1"/>
  <c r="M170" i="1"/>
  <c r="O168" i="1"/>
  <c r="M168" i="1"/>
  <c r="M166" i="1"/>
  <c r="O165" i="1"/>
  <c r="M165" i="1"/>
  <c r="M162" i="1"/>
  <c r="O156" i="1"/>
  <c r="M156" i="1"/>
  <c r="K140" i="1"/>
  <c r="G147" i="1"/>
  <c r="E138" i="1"/>
  <c r="E144" i="1"/>
  <c r="I138" i="1"/>
  <c r="I144" i="1"/>
  <c r="M140" i="1"/>
  <c r="AC138" i="1"/>
  <c r="AB138" i="1"/>
  <c r="AA138" i="1"/>
  <c r="Z138" i="1"/>
  <c r="Y138" i="1"/>
  <c r="T133" i="1"/>
  <c r="T138" i="1"/>
  <c r="S133" i="1"/>
  <c r="S138" i="1"/>
  <c r="R138" i="1"/>
  <c r="Q138" i="1"/>
  <c r="P138" i="1"/>
  <c r="O138" i="1"/>
  <c r="O136" i="1"/>
  <c r="O135" i="1"/>
  <c r="M135" i="1"/>
  <c r="M134" i="1"/>
  <c r="O133" i="1"/>
  <c r="M133" i="1"/>
  <c r="M130" i="1"/>
  <c r="M127" i="1"/>
  <c r="M125" i="1"/>
  <c r="M124" i="1"/>
  <c r="O123" i="1"/>
  <c r="M123" i="1"/>
  <c r="M121" i="1"/>
  <c r="O118" i="1"/>
  <c r="M118" i="1"/>
  <c r="M117" i="1"/>
  <c r="O114" i="1"/>
  <c r="M114" i="1"/>
  <c r="O109" i="1"/>
  <c r="M109" i="1"/>
  <c r="I91" i="1"/>
  <c r="I94" i="1" s="1"/>
  <c r="I96" i="1"/>
  <c r="E69" i="1"/>
  <c r="E91" i="1"/>
  <c r="E96" i="1"/>
  <c r="K93" i="1"/>
  <c r="M93" i="1"/>
  <c r="AC91" i="1"/>
  <c r="AB91" i="1"/>
  <c r="AA91" i="1"/>
  <c r="Z91" i="1"/>
  <c r="Y91" i="1"/>
  <c r="T91" i="1"/>
  <c r="S91" i="1"/>
  <c r="R91" i="1"/>
  <c r="Q91" i="1"/>
  <c r="P91" i="1"/>
  <c r="O91" i="1"/>
  <c r="M91" i="1"/>
  <c r="O89" i="1"/>
  <c r="O87" i="1"/>
  <c r="M87" i="1"/>
  <c r="M85" i="1"/>
  <c r="M81" i="1"/>
  <c r="O79" i="1"/>
  <c r="M79" i="1"/>
  <c r="M76" i="1"/>
  <c r="O75" i="1"/>
  <c r="M75" i="1"/>
  <c r="AM73" i="1"/>
  <c r="AK73" i="1"/>
  <c r="O73" i="1"/>
  <c r="M73" i="1"/>
  <c r="AM69" i="1"/>
  <c r="AK69" i="1"/>
  <c r="AC69" i="1"/>
  <c r="AB69" i="1"/>
  <c r="AA69" i="1"/>
  <c r="Z69" i="1"/>
  <c r="Y69" i="1"/>
  <c r="T69" i="1"/>
  <c r="S60" i="1"/>
  <c r="S69" i="1"/>
  <c r="R69" i="1"/>
  <c r="O69" i="1"/>
  <c r="AM67" i="1"/>
  <c r="AK67" i="1"/>
  <c r="O67" i="1"/>
  <c r="M67" i="1"/>
  <c r="O66" i="1"/>
  <c r="M66" i="1"/>
  <c r="O65" i="1"/>
  <c r="M65" i="1"/>
  <c r="M64" i="1"/>
  <c r="M62" i="1"/>
  <c r="O61" i="1"/>
  <c r="M61" i="1"/>
  <c r="O60" i="1"/>
  <c r="M60" i="1"/>
  <c r="G15" i="1"/>
  <c r="G16" i="1"/>
  <c r="G17" i="1"/>
  <c r="G26" i="1"/>
  <c r="E17" i="1"/>
  <c r="E24" i="1"/>
  <c r="E26" i="1"/>
  <c r="I26" i="1"/>
  <c r="I17" i="1"/>
  <c r="I16" i="1"/>
  <c r="G96" i="1" l="1"/>
  <c r="K96" i="1" s="1"/>
  <c r="K94" i="1"/>
  <c r="M94" i="1" s="1"/>
  <c r="E28" i="1"/>
  <c r="E99" i="1"/>
  <c r="E15" i="1"/>
  <c r="G19" i="1"/>
  <c r="E147" i="1"/>
  <c r="E25" i="1"/>
  <c r="P140" i="1"/>
  <c r="K191" i="1"/>
  <c r="M188" i="1"/>
  <c r="G99" i="1"/>
  <c r="N50" i="2"/>
  <c r="M69" i="1"/>
  <c r="M161" i="1"/>
  <c r="K138" i="1"/>
  <c r="U39" i="1"/>
  <c r="K24" i="1" s="1"/>
  <c r="L22" i="2"/>
  <c r="K144" i="1" l="1"/>
  <c r="M138" i="1"/>
  <c r="E19" i="1"/>
  <c r="E31" i="1" s="1"/>
  <c r="I15" i="1"/>
  <c r="K99" i="1"/>
  <c r="M96" i="1"/>
  <c r="G24" i="1"/>
  <c r="G28" i="1" l="1"/>
  <c r="I24" i="1"/>
  <c r="I19" i="1"/>
  <c r="G25" i="1"/>
  <c r="I25" i="1" s="1"/>
  <c r="K147" i="1"/>
  <c r="M144" i="1"/>
  <c r="I28" i="1" l="1"/>
  <c r="G31" i="1"/>
</calcChain>
</file>

<file path=xl/comments1.xml><?xml version="1.0" encoding="utf-8"?>
<comments xmlns="http://schemas.openxmlformats.org/spreadsheetml/2006/main">
  <authors>
    <author>A satisfied Microsoft Office User</author>
  </authors>
  <commentList>
    <comment ref="AK57" authorId="0">
      <text>
        <r>
          <rPr>
            <sz val="8"/>
            <color indexed="81"/>
            <rFont val="Tahoma"/>
          </rPr>
          <t>Formula failed to convert</t>
        </r>
      </text>
    </comment>
    <comment ref="AM57" authorId="0">
      <text>
        <r>
          <rPr>
            <sz val="8"/>
            <color indexed="81"/>
            <rFont val="Tahoma"/>
          </rPr>
          <t>Formula failed to convert</t>
        </r>
      </text>
    </comment>
    <comment ref="AK68" authorId="0">
      <text>
        <r>
          <rPr>
            <sz val="8"/>
            <color indexed="81"/>
            <rFont val="Tahoma"/>
          </rPr>
          <t>Formula failed to convert</t>
        </r>
      </text>
    </comment>
    <comment ref="AM68" authorId="0">
      <text>
        <r>
          <rPr>
            <sz val="8"/>
            <color indexed="81"/>
            <rFont val="Tahoma"/>
          </rPr>
          <t>Formula failed to convert</t>
        </r>
      </text>
    </comment>
    <comment ref="AK87" authorId="0">
      <text>
        <r>
          <rPr>
            <sz val="8"/>
            <color indexed="81"/>
            <rFont val="Tahoma"/>
          </rPr>
          <t>Formula failed to convert</t>
        </r>
      </text>
    </comment>
    <comment ref="AM87" authorId="0">
      <text>
        <r>
          <rPr>
            <sz val="8"/>
            <color indexed="81"/>
            <rFont val="Tahoma"/>
          </rPr>
          <t>Formula failed to convert</t>
        </r>
      </text>
    </comment>
    <comment ref="P146" authorId="0">
      <text>
        <r>
          <rPr>
            <sz val="8"/>
            <color indexed="81"/>
            <rFont val="Tahoma"/>
          </rPr>
          <t>Formula failed to convert</t>
        </r>
      </text>
    </comment>
    <comment ref="Q146" authorId="0">
      <text>
        <r>
          <rPr>
            <sz val="8"/>
            <color indexed="81"/>
            <rFont val="Tahoma"/>
          </rPr>
          <t>Formula failed to convert</t>
        </r>
      </text>
    </comment>
    <comment ref="P191" authorId="0">
      <text>
        <r>
          <rPr>
            <sz val="8"/>
            <color indexed="81"/>
            <rFont val="Tahoma"/>
          </rPr>
          <t>Formula failed to convert</t>
        </r>
      </text>
    </comment>
    <comment ref="Q191" authorId="0">
      <text>
        <r>
          <rPr>
            <sz val="8"/>
            <color indexed="81"/>
            <rFont val="Tahoma"/>
          </rPr>
          <t>Formula failed to convert</t>
        </r>
      </text>
    </comment>
  </commentList>
</comments>
</file>

<file path=xl/comments2.xml><?xml version="1.0" encoding="utf-8"?>
<comments xmlns="http://schemas.openxmlformats.org/spreadsheetml/2006/main">
  <authors>
    <author xml:space="preserve"> SLCS</author>
  </authors>
  <commentList>
    <comment ref="H35" authorId="0">
      <text>
        <r>
          <rPr>
            <b/>
            <sz val="8"/>
            <color indexed="81"/>
            <rFont val="Tahoma"/>
          </rPr>
          <t xml:space="preserve"> SLCS:</t>
        </r>
        <r>
          <rPr>
            <sz val="8"/>
            <color indexed="81"/>
            <rFont val="Tahoma"/>
          </rPr>
          <t xml:space="preserve">
</t>
        </r>
        <r>
          <rPr>
            <sz val="12"/>
            <color indexed="81"/>
            <rFont val="Tahoma"/>
            <family val="2"/>
          </rPr>
          <t xml:space="preserve">80% of revenues
</t>
        </r>
      </text>
    </comment>
    <comment ref="N35" authorId="0">
      <text>
        <r>
          <rPr>
            <b/>
            <sz val="8"/>
            <color indexed="81"/>
            <rFont val="Tahoma"/>
          </rPr>
          <t xml:space="preserve"> SLCS:</t>
        </r>
        <r>
          <rPr>
            <sz val="8"/>
            <color indexed="81"/>
            <rFont val="Tahoma"/>
          </rPr>
          <t xml:space="preserve">
</t>
        </r>
        <r>
          <rPr>
            <sz val="12"/>
            <color indexed="81"/>
            <rFont val="Tahoma"/>
            <family val="2"/>
          </rPr>
          <t xml:space="preserve">80% of revenues
</t>
        </r>
      </text>
    </comment>
  </commentList>
</comments>
</file>

<file path=xl/sharedStrings.xml><?xml version="1.0" encoding="utf-8"?>
<sst xmlns="http://schemas.openxmlformats.org/spreadsheetml/2006/main" count="584" uniqueCount="139">
  <si>
    <t xml:space="preserve"> </t>
  </si>
  <si>
    <t>Community Education Self-Funded Programs</t>
  </si>
  <si>
    <t>Acct. Period</t>
  </si>
  <si>
    <t>% Year</t>
  </si>
  <si>
    <t>Prior Yr</t>
  </si>
  <si>
    <t>BUDGET</t>
  </si>
  <si>
    <t>ACTUAL</t>
  </si>
  <si>
    <t>To Date</t>
  </si>
  <si>
    <t xml:space="preserve"> To Date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</si>
  <si>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</si>
  <si>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</si>
  <si>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</si>
  <si>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</si>
  <si>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</si>
  <si>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</si>
  <si>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</si>
  <si>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</si>
  <si>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</si>
  <si>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REVENUES:</t>
  </si>
  <si>
    <t>~</t>
  </si>
  <si>
    <t>~~~~~~~</t>
  </si>
  <si>
    <t>Senior Citizens</t>
  </si>
  <si>
    <t xml:space="preserve"> $</t>
  </si>
  <si>
    <t>Kids Club</t>
  </si>
  <si>
    <t>Pre-School</t>
  </si>
  <si>
    <t>-</t>
  </si>
  <si>
    <t xml:space="preserve">  Total Revenues</t>
  </si>
  <si>
    <t xml:space="preserve">        $</t>
  </si>
  <si>
    <t>EXPENDITURES AND ENCUMBRANCES:</t>
  </si>
  <si>
    <t xml:space="preserve">  Total Exp &amp; Enc.</t>
  </si>
  <si>
    <t xml:space="preserve">  Over Expenditures</t>
  </si>
  <si>
    <t>Prior</t>
  </si>
  <si>
    <t>PRIOR</t>
  </si>
  <si>
    <t xml:space="preserve"> % YTD</t>
  </si>
  <si>
    <t>YEAR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</si>
  <si>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</si>
  <si>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</si>
  <si>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</si>
  <si>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</si>
  <si>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</si>
  <si>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</si>
  <si>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</si>
  <si>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</si>
  <si>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</si>
  <si>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Memberships</t>
  </si>
  <si>
    <t>Travel Fees</t>
  </si>
  <si>
    <t>Class Fees</t>
  </si>
  <si>
    <t>Fund Raising</t>
  </si>
  <si>
    <t>Donations</t>
  </si>
  <si>
    <t>Newsletter Ads</t>
  </si>
  <si>
    <t>Municipal Contribution</t>
  </si>
  <si>
    <t>Enrichment</t>
  </si>
  <si>
    <t>Early Childhood</t>
  </si>
  <si>
    <t>EXPENDITURES:</t>
  </si>
  <si>
    <t>EXPEND.</t>
  </si>
  <si>
    <t>ENCUMB.</t>
  </si>
  <si>
    <t>TOTAL</t>
  </si>
  <si>
    <t>~~</t>
  </si>
  <si>
    <t>Salary - Coordinator</t>
  </si>
  <si>
    <t>Salary - Aide</t>
  </si>
  <si>
    <t>Longevity</t>
  </si>
  <si>
    <t>Salary - Off Schedule</t>
  </si>
  <si>
    <t>Fringe Benefits</t>
  </si>
  <si>
    <t>~~~</t>
  </si>
  <si>
    <t xml:space="preserve">Retirement </t>
  </si>
  <si>
    <t>FICA</t>
  </si>
  <si>
    <t>Workers Compensation</t>
  </si>
  <si>
    <t>Telephone</t>
  </si>
  <si>
    <t>Printing &amp; Publishing</t>
  </si>
  <si>
    <t>Supplies</t>
  </si>
  <si>
    <t xml:space="preserve">  Total Program Exp &amp; Enc</t>
  </si>
  <si>
    <t>Est. Bldg Usage Costs</t>
  </si>
  <si>
    <t>Indirect Cost</t>
  </si>
  <si>
    <t>Total Expenditures</t>
  </si>
  <si>
    <t>=</t>
  </si>
  <si>
    <t>Salary - Secretary</t>
  </si>
  <si>
    <t>Employee Benefits</t>
  </si>
  <si>
    <t>Retirement</t>
  </si>
  <si>
    <t>Equipment</t>
  </si>
  <si>
    <t>Fees</t>
  </si>
  <si>
    <t>Salary - Supervisor</t>
  </si>
  <si>
    <t>Salary - Caregivers</t>
  </si>
  <si>
    <t>Salary - Site Leaders</t>
  </si>
  <si>
    <t>In Lieu of Health</t>
  </si>
  <si>
    <t>Workers Comp</t>
  </si>
  <si>
    <t>Inservice and Travel</t>
  </si>
  <si>
    <t>Contracted Maintenance</t>
  </si>
  <si>
    <t>Supplies-Snacks</t>
  </si>
  <si>
    <t>Miscellaneous</t>
  </si>
  <si>
    <t>Subtotal</t>
  </si>
  <si>
    <t>Net  Revenues Over Expenditures</t>
  </si>
  <si>
    <t>Salary - Instructors</t>
  </si>
  <si>
    <t>Salary - Aides</t>
  </si>
  <si>
    <t>Salary - In Leiu of Health</t>
  </si>
  <si>
    <t>Salary - Teacher/Aide Subs</t>
  </si>
  <si>
    <t>Benefits</t>
  </si>
  <si>
    <t>Inservice &amp; Travel</t>
  </si>
  <si>
    <t>Miscellanous</t>
  </si>
  <si>
    <t>District Building Usage</t>
  </si>
  <si>
    <t>Revenues (under)</t>
  </si>
  <si>
    <t>Salary - Life Guards</t>
  </si>
  <si>
    <t>ECC Building Costs</t>
  </si>
  <si>
    <t>ECC $</t>
  </si>
  <si>
    <t>CENTER FOR ACTIVE ADULTS</t>
  </si>
  <si>
    <t>KIDS CLUB</t>
  </si>
  <si>
    <t>PRESCHOOL PROGRAM</t>
  </si>
  <si>
    <t>Center For Active Adults</t>
  </si>
  <si>
    <t>2004</t>
  </si>
  <si>
    <t>City of South Lyon</t>
  </si>
  <si>
    <t>Lyon Township</t>
  </si>
  <si>
    <t>Green Oak Twp.</t>
  </si>
  <si>
    <t>Salem Twp</t>
  </si>
  <si>
    <t>Out of District</t>
  </si>
  <si>
    <t>Other District</t>
  </si>
  <si>
    <t>Memberships:</t>
  </si>
  <si>
    <t>Municipal Contribution:</t>
  </si>
  <si>
    <t>REVISED</t>
  </si>
  <si>
    <t>Donations/Misc.</t>
  </si>
  <si>
    <t xml:space="preserve">  Total Program Expenditures</t>
  </si>
  <si>
    <t>Contracted Serv. Classes</t>
  </si>
  <si>
    <t>Contracted Serv. Swimming</t>
  </si>
  <si>
    <t>Swim Fees</t>
  </si>
  <si>
    <t>2005-06</t>
  </si>
  <si>
    <t>Budget</t>
  </si>
  <si>
    <t>Salary - Field Trips</t>
  </si>
  <si>
    <t>Postage</t>
  </si>
  <si>
    <t>Bus Rental</t>
  </si>
  <si>
    <t>Approved</t>
  </si>
  <si>
    <t>2005-06 Budget to Actual Summary Report</t>
  </si>
  <si>
    <t>Swimming Fees</t>
  </si>
  <si>
    <t>Contracted Services/Classes</t>
  </si>
  <si>
    <t>Contracted Services/Swimming</t>
  </si>
  <si>
    <t>Contracted Maint. - Web System</t>
  </si>
  <si>
    <t>THROUGH THE MONTH ENDED OCTOBER 31, 2005</t>
  </si>
  <si>
    <t>Salary - Bus Driver</t>
  </si>
  <si>
    <t>Through the Month Ended 2/28/06</t>
  </si>
  <si>
    <t>2005</t>
  </si>
  <si>
    <t>updated</t>
  </si>
  <si>
    <t>Distarict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</si>
</sst>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[$-409]mmm\-yy;@"/>
    <numFmt numFmtId="168" formatCode="0.0000%"/>
  </numFmts>
  <fonts count="7" x14ac:knownFonts="1">
    <font>
      <sz val="12"/>
      <name val="Arial"/>
    </font>
    <font>
      <sz val="10"/>
      <name val="Arial"/>
    </font>
    <font>
      <i/>
      <sz val="12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sz val="12"/>
      <color indexed="81"/>
      <name val="Tahoma"/>
      <family val="2"/>
    </font>
    <font>
      <u/>
      <sz val="12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</borders>
  <cellStyleXfs count="2">
    <xf numFmtId="37" fontId="0" fillId="0" borderId="0"/>
    <xf numFmtId="9" fontId="1" fillId="0" borderId="0" applyFont="0" applyFill="0" applyBorder="0" applyAlignment="0" applyProtection="0"/>
  </cellStyleXfs>
  <cellXfs count="42">
    <xf numFmtId="37" fontId="0" fillId="0" borderId="0" xfId="0"/>
    <xf numFmtId="37" fontId="2" fillId="0" borderId="0" xfId="0" applyFont="1" applyAlignment="1">
      <alignment horizontal="center"/>
    </xf>
    <xf numFmtId="10" fontId="0" fillId="0" borderId="0" xfId="0" applyNumberFormat="1" applyProtection="1"/>
    <xf numFmtId="37" fontId="2" fillId="0" borderId="0" xfId="0" applyFont="1"/>
    <xf numFmtId="9" fontId="0" fillId="0" borderId="0" xfId="0" applyNumberFormat="1" applyProtection="1"/>
    <xf numFmtId="37" fontId="0" fillId="0" borderId="0" xfId="0" applyNumberFormat="1" applyProtection="1"/>
    <xf numFmtId="37" fontId="0" fillId="0" borderId="0" xfId="0" applyAlignment="1">
      <alignment horizontal="left"/>
    </xf>
    <xf numFmtId="37" fontId="0" fillId="0" borderId="0" xfId="0" applyAlignment="1">
      <alignment horizontal="right"/>
    </xf>
    <xf numFmtId="37" fontId="2" fillId="0" borderId="0" xfId="0" applyFont="1" applyAlignment="1">
      <alignment horizontal="right"/>
    </xf>
    <xf numFmtId="37" fontId="0" fillId="0" borderId="0" xfId="0" applyAlignment="1">
      <alignment horizontal="center"/>
    </xf>
    <xf numFmtId="37" fontId="0" fillId="0" borderId="0" xfId="0" applyAlignment="1">
      <alignment horizontal="fill"/>
    </xf>
    <xf numFmtId="37" fontId="0" fillId="0" borderId="0" xfId="0" applyNumberFormat="1" applyAlignment="1" applyProtection="1">
      <alignment horizontal="fill"/>
    </xf>
    <xf numFmtId="37" fontId="0" fillId="0" borderId="0" xfId="0" applyNumberFormat="1" applyAlignment="1" applyProtection="1">
      <alignment horizontal="right"/>
    </xf>
    <xf numFmtId="10" fontId="0" fillId="0" borderId="0" xfId="0" applyNumberFormat="1" applyAlignment="1" applyProtection="1">
      <alignment horizontal="right"/>
    </xf>
    <xf numFmtId="39" fontId="0" fillId="0" borderId="0" xfId="0" applyNumberFormat="1" applyAlignment="1" applyProtection="1">
      <alignment horizontal="right"/>
    </xf>
    <xf numFmtId="37" fontId="0" fillId="0" borderId="0" xfId="0" applyAlignment="1"/>
    <xf numFmtId="9" fontId="0" fillId="0" borderId="0" xfId="1" applyFont="1"/>
    <xf numFmtId="37" fontId="0" fillId="0" borderId="0" xfId="0" applyNumberFormat="1" applyFill="1" applyProtection="1"/>
    <xf numFmtId="37" fontId="0" fillId="2" borderId="0" xfId="0" applyFill="1"/>
    <xf numFmtId="165" fontId="0" fillId="0" borderId="0" xfId="0" applyNumberFormat="1"/>
    <xf numFmtId="37" fontId="0" fillId="0" borderId="0" xfId="0" quotePrefix="1"/>
    <xf numFmtId="37" fontId="0" fillId="0" borderId="0" xfId="0" quotePrefix="1" applyAlignment="1">
      <alignment horizontal="right"/>
    </xf>
    <xf numFmtId="37" fontId="0" fillId="0" borderId="0" xfId="0" applyBorder="1"/>
    <xf numFmtId="37" fontId="0" fillId="0" borderId="0" xfId="0" applyFill="1"/>
    <xf numFmtId="37" fontId="6" fillId="0" borderId="0" xfId="0" applyFont="1"/>
    <xf numFmtId="37" fontId="6" fillId="0" borderId="0" xfId="0" applyFont="1" applyAlignment="1">
      <alignment horizontal="center"/>
    </xf>
    <xf numFmtId="37" fontId="0" fillId="0" borderId="0" xfId="0" applyFill="1" applyAlignment="1">
      <alignment horizontal="fill"/>
    </xf>
    <xf numFmtId="37" fontId="0" fillId="0" borderId="0" xfId="0" applyFill="1" applyBorder="1"/>
    <xf numFmtId="9" fontId="0" fillId="0" borderId="0" xfId="0" applyNumberFormat="1" applyFill="1" applyProtection="1"/>
    <xf numFmtId="168" fontId="0" fillId="0" borderId="0" xfId="1" applyNumberFormat="1" applyFont="1" applyBorder="1"/>
    <xf numFmtId="37" fontId="0" fillId="0" borderId="0" xfId="0" quotePrefix="1" applyBorder="1" applyAlignment="1">
      <alignment horizontal="center"/>
    </xf>
    <xf numFmtId="37" fontId="0" fillId="0" borderId="0" xfId="0" applyBorder="1" applyAlignment="1">
      <alignment horizontal="center"/>
    </xf>
    <xf numFmtId="37" fontId="6" fillId="0" borderId="0" xfId="0" applyFont="1" applyBorder="1" applyAlignment="1">
      <alignment horizontal="center"/>
    </xf>
    <xf numFmtId="37" fontId="0" fillId="0" borderId="1" xfId="0" applyBorder="1"/>
    <xf numFmtId="9" fontId="0" fillId="0" borderId="1" xfId="0" applyNumberFormat="1" applyBorder="1" applyProtection="1"/>
    <xf numFmtId="37" fontId="0" fillId="0" borderId="2" xfId="0" applyBorder="1"/>
    <xf numFmtId="37" fontId="0" fillId="0" borderId="1" xfId="0" applyFill="1" applyBorder="1"/>
    <xf numFmtId="37" fontId="0" fillId="0" borderId="0" xfId="0" quotePrefix="1" applyAlignment="1">
      <alignment horizontal="center"/>
    </xf>
    <xf numFmtId="9" fontId="0" fillId="0" borderId="0" xfId="1" applyFont="1" applyAlignment="1">
      <alignment horizontal="center"/>
    </xf>
    <xf numFmtId="37" fontId="0" fillId="0" borderId="0" xfId="0" applyNumberFormat="1" applyAlignment="1" applyProtection="1">
      <alignment horizontal="center"/>
    </xf>
    <xf numFmtId="37" fontId="0" fillId="3" borderId="0" xfId="0" applyFill="1" applyAlignment="1">
      <alignment horizontal="center"/>
    </xf>
    <xf numFmtId="37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Revenues</a:t>
            </a:r>
            <a:endParaRPr lang="en-US"/>
          </a:p>
        </c:rich>
      </c:tx>
      <c:layout>
        <c:manualLayout>
          <c:xMode val="edge"/>
          <c:yMode val="edge"/>
          <c:x val="0.40379510658850615"/>
          <c:y val="6.5972445924363618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3035291315451695"/>
          <c:y val="0.22569520974124396"/>
          <c:w val="0.73441928782204813"/>
          <c:h val="0.45486265347850707"/>
        </c:manualLayout>
      </c:layout>
      <c:barChart>
        <c:barDir val="col"/>
        <c:grouping val="clustered"/>
        <c:varyColors val="0"/>
        <c:ser>
          <c:idx val="0"/>
          <c:order val="0"/>
          <c:tx>
            <c:v>YTD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A!$B$15:$B$17</c:f>
              <c:strCache>
                <c:ptCount val="3"/>
                <c:pt idx="0">
                  <c:v>Center For Active Adults</c:v>
                </c:pt>
                <c:pt idx="1">
                  <c:v>Kids Club</c:v>
                </c:pt>
                <c:pt idx="2">
                  <c:v>Pre-School</c:v>
                </c:pt>
              </c:strCache>
            </c:strRef>
          </c:cat>
          <c:val>
            <c:numRef>
              <c:f>A!$G$15:$G$17</c:f>
              <c:numCache>
                <c:formatCode>#,##0_);\(#,##0\)</c:formatCode>
                <c:ptCount val="3"/>
                <c:pt idx="0">
                  <c:v>95302</c:v>
                </c:pt>
                <c:pt idx="1">
                  <c:v>623280</c:v>
                </c:pt>
                <c:pt idx="2">
                  <c:v>205236</c:v>
                </c:pt>
              </c:numCache>
            </c:numRef>
          </c:val>
        </c:ser>
        <c:ser>
          <c:idx val="1"/>
          <c:order val="1"/>
          <c:tx>
            <c:v>Budget</c:v>
          </c:tx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A!$B$15:$B$17</c:f>
              <c:strCache>
                <c:ptCount val="3"/>
                <c:pt idx="0">
                  <c:v>Center For Active Adults</c:v>
                </c:pt>
                <c:pt idx="1">
                  <c:v>Kids Club</c:v>
                </c:pt>
                <c:pt idx="2">
                  <c:v>Pre-School</c:v>
                </c:pt>
              </c:strCache>
            </c:strRef>
          </c:cat>
          <c:val>
            <c:numRef>
              <c:f>A!$E$15:$E$17</c:f>
              <c:numCache>
                <c:formatCode>#,##0_);\(#,##0\)</c:formatCode>
                <c:ptCount val="3"/>
                <c:pt idx="0">
                  <c:v>125850</c:v>
                </c:pt>
                <c:pt idx="1">
                  <c:v>953305</c:v>
                </c:pt>
                <c:pt idx="2">
                  <c:v>259910</c:v>
                </c:pt>
              </c:numCache>
            </c:numRef>
          </c:val>
        </c:ser>
        <c:ser>
          <c:idx val="2"/>
          <c:order val="2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A!$B$15:$B$17</c:f>
              <c:strCache>
                <c:ptCount val="3"/>
                <c:pt idx="0">
                  <c:v>Center For Active Adults</c:v>
                </c:pt>
                <c:pt idx="1">
                  <c:v>Kids Club</c:v>
                </c:pt>
                <c:pt idx="2">
                  <c:v>Pre-School</c:v>
                </c:pt>
              </c:strCache>
            </c:strRef>
          </c:cat>
          <c:val>
            <c:numRef>
              <c:f>A!$F$16</c:f>
              <c:numCache>
                <c:formatCode>#,##0_);\(#,##0\)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059712"/>
        <c:axId val="137241728"/>
      </c:barChart>
      <c:catAx>
        <c:axId val="137059712"/>
        <c:scaling>
          <c:orientation val="minMax"/>
        </c:scaling>
        <c:delete val="0"/>
        <c:axPos val="b"/>
        <c:numFmt formatCode="#,##0_);\(#,##0\)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7241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241728"/>
        <c:scaling>
          <c:orientation val="minMax"/>
        </c:scaling>
        <c:delete val="0"/>
        <c:axPos val="l"/>
        <c:numFmt formatCode="#,##0_);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705971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6612589485384603"/>
          <c:y val="0.89583637097293756"/>
          <c:w val="0.3848248666816636"/>
          <c:h val="7.638914791242103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4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Expenditures</a:t>
            </a:r>
            <a:endParaRPr lang="en-US"/>
          </a:p>
        </c:rich>
      </c:tx>
      <c:layout>
        <c:manualLayout>
          <c:xMode val="edge"/>
          <c:yMode val="edge"/>
          <c:x val="0.41309874485735898"/>
          <c:y val="7.31707317073170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410605678582631"/>
          <c:y val="0.19163763066202091"/>
          <c:w val="0.75063064614324981"/>
          <c:h val="0.47038327526132406"/>
        </c:manualLayout>
      </c:layout>
      <c:barChart>
        <c:barDir val="col"/>
        <c:grouping val="clustered"/>
        <c:varyColors val="0"/>
        <c:ser>
          <c:idx val="0"/>
          <c:order val="0"/>
          <c:tx>
            <c:v>YTD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A!$B$15:$B$17</c:f>
              <c:strCache>
                <c:ptCount val="3"/>
                <c:pt idx="0">
                  <c:v>Center For Active Adults</c:v>
                </c:pt>
                <c:pt idx="1">
                  <c:v>Kids Club</c:v>
                </c:pt>
                <c:pt idx="2">
                  <c:v>Pre-School</c:v>
                </c:pt>
              </c:strCache>
            </c:strRef>
          </c:cat>
          <c:val>
            <c:numRef>
              <c:f>A!$G$24:$G$26</c:f>
              <c:numCache>
                <c:formatCode>#,##0_);\(#,##0\)</c:formatCode>
                <c:ptCount val="3"/>
                <c:pt idx="0">
                  <c:v>79373.073333333334</c:v>
                </c:pt>
                <c:pt idx="1">
                  <c:v>592679.59200000006</c:v>
                </c:pt>
                <c:pt idx="2">
                  <c:v>153495.5413333333</c:v>
                </c:pt>
              </c:numCache>
            </c:numRef>
          </c:val>
        </c:ser>
        <c:ser>
          <c:idx val="1"/>
          <c:order val="1"/>
          <c:tx>
            <c:v>Budget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A!$B$15:$B$17</c:f>
              <c:strCache>
                <c:ptCount val="3"/>
                <c:pt idx="0">
                  <c:v>Center For Active Adults</c:v>
                </c:pt>
                <c:pt idx="1">
                  <c:v>Kids Club</c:v>
                </c:pt>
                <c:pt idx="2">
                  <c:v>Pre-School</c:v>
                </c:pt>
              </c:strCache>
            </c:strRef>
          </c:cat>
          <c:val>
            <c:numRef>
              <c:f>A!$E$24:$E$26</c:f>
              <c:numCache>
                <c:formatCode>#,##0_);\(#,##0\)</c:formatCode>
                <c:ptCount val="3"/>
                <c:pt idx="0">
                  <c:v>125650</c:v>
                </c:pt>
                <c:pt idx="1">
                  <c:v>942044.49600000004</c:v>
                </c:pt>
                <c:pt idx="2">
                  <c:v>254275.66399999999</c:v>
                </c:pt>
              </c:numCache>
            </c:numRef>
          </c:val>
        </c:ser>
        <c:ser>
          <c:idx val="2"/>
          <c:order val="2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A!$B$15:$B$17</c:f>
              <c:strCache>
                <c:ptCount val="3"/>
                <c:pt idx="0">
                  <c:v>Center For Active Adults</c:v>
                </c:pt>
                <c:pt idx="1">
                  <c:v>Kids Club</c:v>
                </c:pt>
                <c:pt idx="2">
                  <c:v>Pre-School</c:v>
                </c:pt>
              </c:strCache>
            </c:strRef>
          </c:cat>
          <c:val>
            <c:numRef>
              <c:f>A!$K$17</c:f>
              <c:numCache>
                <c:formatCode>0%</c:formatCode>
                <c:ptCount val="1"/>
                <c:pt idx="0">
                  <c:v>0.92692833009848319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292416"/>
        <c:axId val="137294208"/>
      </c:barChart>
      <c:catAx>
        <c:axId val="137292416"/>
        <c:scaling>
          <c:orientation val="minMax"/>
        </c:scaling>
        <c:delete val="0"/>
        <c:axPos val="b"/>
        <c:numFmt formatCode="#,##0_);\(#,##0\)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7294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294208"/>
        <c:scaling>
          <c:orientation val="minMax"/>
        </c:scaling>
        <c:delete val="0"/>
        <c:axPos val="l"/>
        <c:numFmt formatCode="#,##0_);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729241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6599553535738664"/>
          <c:y val="0.90243902439024393"/>
          <c:w val="0.35768305957161567"/>
          <c:h val="7.665505226480835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34</xdr:row>
      <xdr:rowOff>38100</xdr:rowOff>
    </xdr:from>
    <xdr:to>
      <xdr:col>5</xdr:col>
      <xdr:colOff>104775</xdr:colOff>
      <xdr:row>48</xdr:row>
      <xdr:rowOff>114300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9525</xdr:colOff>
      <xdr:row>34</xdr:row>
      <xdr:rowOff>38100</xdr:rowOff>
    </xdr:from>
    <xdr:to>
      <xdr:col>12</xdr:col>
      <xdr:colOff>561975</xdr:colOff>
      <xdr:row>48</xdr:row>
      <xdr:rowOff>104775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/>
  <dimension ref="A1:AR192"/>
  <sheetViews>
    <sheetView tabSelected="1" defaultGridColor="0" colorId="22" zoomScale="75" zoomScaleNormal="75" workbookViewId="0">
      <selection activeCell="M18" sqref="M18"/>
    </sheetView>
  </sheetViews>
  <sheetFormatPr defaultColWidth="9.77734375" defaultRowHeight="15" x14ac:dyDescent="0.2"/>
  <cols>
    <col min="1" max="1" width="1.77734375" customWidth="1"/>
    <col min="4" max="4" width="10.77734375" customWidth="1"/>
    <col min="6" max="6" width="2.77734375" customWidth="1"/>
    <col min="8" max="8" width="2.77734375" customWidth="1"/>
    <col min="10" max="10" width="2.77734375" customWidth="1"/>
    <col min="12" max="12" width="2.77734375" customWidth="1"/>
    <col min="13" max="13" width="7.77734375" customWidth="1"/>
    <col min="14" max="14" width="2.77734375" customWidth="1"/>
    <col min="15" max="15" width="8.6640625" customWidth="1"/>
    <col min="21" max="21" width="9.77734375" style="9"/>
  </cols>
  <sheetData>
    <row r="1" spans="1:28" x14ac:dyDescent="0.2">
      <c r="F1" s="1" t="s">
        <v>138</v>
      </c>
    </row>
    <row r="2" spans="1:28" x14ac:dyDescent="0.2">
      <c r="F2" s="1"/>
    </row>
    <row r="3" spans="1:28" x14ac:dyDescent="0.2">
      <c r="B3" s="2" t="s">
        <v>0</v>
      </c>
      <c r="F3" s="1" t="s">
        <v>1</v>
      </c>
    </row>
    <row r="4" spans="1:28" x14ac:dyDescent="0.2">
      <c r="B4" s="2"/>
      <c r="F4" s="1"/>
      <c r="O4">
        <v>50486</v>
      </c>
      <c r="P4" t="s">
        <v>102</v>
      </c>
    </row>
    <row r="5" spans="1:28" x14ac:dyDescent="0.2">
      <c r="F5" s="1" t="s">
        <v>128</v>
      </c>
      <c r="O5">
        <v>8</v>
      </c>
      <c r="P5" s="7" t="s">
        <v>2</v>
      </c>
    </row>
    <row r="6" spans="1:28" x14ac:dyDescent="0.2">
      <c r="F6" s="1"/>
    </row>
    <row r="7" spans="1:28" x14ac:dyDescent="0.2">
      <c r="F7" s="1" t="s">
        <v>135</v>
      </c>
    </row>
    <row r="8" spans="1:28" x14ac:dyDescent="0.2">
      <c r="C8" s="7" t="s">
        <v>0</v>
      </c>
    </row>
    <row r="9" spans="1:28" x14ac:dyDescent="0.2">
      <c r="D9" s="8" t="s">
        <v>0</v>
      </c>
      <c r="E9" s="3"/>
      <c r="S9" s="18"/>
    </row>
    <row r="11" spans="1:28" x14ac:dyDescent="0.2">
      <c r="I11" t="s">
        <v>3</v>
      </c>
      <c r="K11" t="s">
        <v>4</v>
      </c>
      <c r="U11" s="9" t="s">
        <v>137</v>
      </c>
    </row>
    <row r="12" spans="1:28" x14ac:dyDescent="0.2">
      <c r="E12" s="9" t="s">
        <v>5</v>
      </c>
      <c r="G12" s="9" t="s">
        <v>6</v>
      </c>
      <c r="I12" t="s">
        <v>7</v>
      </c>
      <c r="K12" t="s">
        <v>8</v>
      </c>
      <c r="O12" s="19"/>
      <c r="P12" s="7" t="s">
        <v>9</v>
      </c>
      <c r="Q12" s="7" t="s">
        <v>10</v>
      </c>
      <c r="R12" s="7" t="s">
        <v>11</v>
      </c>
      <c r="S12" s="7" t="s">
        <v>12</v>
      </c>
      <c r="T12" s="7" t="s">
        <v>13</v>
      </c>
      <c r="U12" s="9" t="s">
        <v>14</v>
      </c>
      <c r="V12" s="7" t="s">
        <v>15</v>
      </c>
      <c r="W12" s="7" t="s">
        <v>16</v>
      </c>
      <c r="X12" s="7" t="s">
        <v>17</v>
      </c>
      <c r="Y12" s="19">
        <v>38504</v>
      </c>
      <c r="AA12" s="19">
        <v>38657</v>
      </c>
      <c r="AB12" s="19">
        <v>38688</v>
      </c>
    </row>
    <row r="13" spans="1:28" x14ac:dyDescent="0.2">
      <c r="A13" t="s">
        <v>18</v>
      </c>
      <c r="E13" s="10" t="s">
        <v>19</v>
      </c>
      <c r="G13" s="10" t="s">
        <v>19</v>
      </c>
      <c r="I13" s="10" t="s">
        <v>19</v>
      </c>
      <c r="K13" s="10" t="s">
        <v>19</v>
      </c>
      <c r="Q13" s="21" t="s">
        <v>107</v>
      </c>
      <c r="R13" s="21" t="s">
        <v>107</v>
      </c>
      <c r="S13" s="21" t="s">
        <v>107</v>
      </c>
      <c r="U13" s="37" t="s">
        <v>136</v>
      </c>
      <c r="W13" s="20" t="s">
        <v>107</v>
      </c>
    </row>
    <row r="14" spans="1:28" x14ac:dyDescent="0.2">
      <c r="A14" s="10" t="s">
        <v>19</v>
      </c>
      <c r="B14" t="s">
        <v>20</v>
      </c>
      <c r="I14" s="4" t="s">
        <v>0</v>
      </c>
    </row>
    <row r="15" spans="1:28" x14ac:dyDescent="0.2">
      <c r="B15" t="s">
        <v>106</v>
      </c>
      <c r="E15" s="5">
        <f>SUM(E69)</f>
        <v>125850</v>
      </c>
      <c r="F15" s="7" t="s">
        <v>22</v>
      </c>
      <c r="G15">
        <f>SUM(K69)</f>
        <v>95302</v>
      </c>
      <c r="I15" s="4">
        <f>SUM(G15/E15)</f>
        <v>0.75726658720699247</v>
      </c>
      <c r="K15" s="4">
        <f>+U30</f>
        <v>0.77700289026726854</v>
      </c>
      <c r="P15">
        <v>2810</v>
      </c>
      <c r="Q15">
        <v>12105</v>
      </c>
      <c r="R15">
        <v>9235</v>
      </c>
      <c r="S15">
        <v>17103</v>
      </c>
      <c r="T15">
        <v>84591</v>
      </c>
      <c r="U15" s="40">
        <v>95705</v>
      </c>
      <c r="V15">
        <v>111931</v>
      </c>
      <c r="W15">
        <v>116742</v>
      </c>
      <c r="X15">
        <v>122010</v>
      </c>
      <c r="Y15">
        <v>123172</v>
      </c>
      <c r="AA15">
        <v>9235</v>
      </c>
      <c r="AB15">
        <v>38034</v>
      </c>
    </row>
    <row r="16" spans="1:28" x14ac:dyDescent="0.2">
      <c r="B16" t="s">
        <v>23</v>
      </c>
      <c r="E16">
        <f>SUM(E109)</f>
        <v>953305</v>
      </c>
      <c r="G16">
        <f>SUM(K109)</f>
        <v>623280</v>
      </c>
      <c r="I16" s="4">
        <f>SUM(G16/E16)</f>
        <v>0.6538096411956299</v>
      </c>
      <c r="K16" s="4">
        <f>+U31</f>
        <v>0.67312299783392882</v>
      </c>
      <c r="P16">
        <v>190816</v>
      </c>
      <c r="Q16">
        <v>308276</v>
      </c>
      <c r="R16">
        <v>392061</v>
      </c>
      <c r="S16">
        <v>453547</v>
      </c>
      <c r="T16">
        <v>453973</v>
      </c>
      <c r="U16" s="40">
        <v>626798</v>
      </c>
      <c r="V16">
        <v>616170</v>
      </c>
      <c r="W16">
        <v>683608</v>
      </c>
      <c r="X16">
        <v>756831</v>
      </c>
      <c r="Y16">
        <v>931179</v>
      </c>
      <c r="AA16">
        <v>392061</v>
      </c>
      <c r="AB16">
        <v>454899</v>
      </c>
    </row>
    <row r="17" spans="1:28" x14ac:dyDescent="0.2">
      <c r="B17" t="s">
        <v>24</v>
      </c>
      <c r="E17">
        <f>SUM(E156)</f>
        <v>259910</v>
      </c>
      <c r="G17">
        <f>SUM(K156)</f>
        <v>205236</v>
      </c>
      <c r="I17" s="4">
        <f>SUM(G17/E17)</f>
        <v>0.789642568581432</v>
      </c>
      <c r="K17" s="4">
        <f>+U32</f>
        <v>0.92692833009848319</v>
      </c>
      <c r="P17">
        <v>100071</v>
      </c>
      <c r="Q17">
        <v>99134</v>
      </c>
      <c r="R17">
        <v>103034</v>
      </c>
      <c r="S17">
        <v>137720</v>
      </c>
      <c r="T17">
        <v>187991</v>
      </c>
      <c r="U17" s="40">
        <v>206312</v>
      </c>
      <c r="V17">
        <v>230827</v>
      </c>
      <c r="W17">
        <v>251519</v>
      </c>
      <c r="X17">
        <v>251730</v>
      </c>
      <c r="Y17">
        <v>222576</v>
      </c>
      <c r="AA17">
        <v>103034</v>
      </c>
      <c r="AB17">
        <v>183978</v>
      </c>
    </row>
    <row r="18" spans="1:28" x14ac:dyDescent="0.2">
      <c r="E18" s="10" t="s">
        <v>25</v>
      </c>
      <c r="G18" s="10" t="s">
        <v>25</v>
      </c>
      <c r="I18" s="10" t="s">
        <v>25</v>
      </c>
      <c r="K18" s="10" t="s">
        <v>25</v>
      </c>
      <c r="S18" s="10" t="s">
        <v>0</v>
      </c>
      <c r="U18" s="9" t="s">
        <v>25</v>
      </c>
      <c r="W18" s="10" t="s">
        <v>25</v>
      </c>
      <c r="X18" s="10" t="s">
        <v>25</v>
      </c>
      <c r="Y18" s="11" t="s">
        <v>25</v>
      </c>
      <c r="AA18" t="s">
        <v>25</v>
      </c>
      <c r="AB18" t="s">
        <v>25</v>
      </c>
    </row>
    <row r="19" spans="1:28" x14ac:dyDescent="0.2">
      <c r="B19" t="s">
        <v>26</v>
      </c>
      <c r="D19" s="7" t="s">
        <v>27</v>
      </c>
      <c r="E19">
        <f>SUM(E5:F17)</f>
        <v>1339065</v>
      </c>
      <c r="F19" s="7" t="s">
        <v>22</v>
      </c>
      <c r="G19">
        <f>SUM(G5:H17)</f>
        <v>923818</v>
      </c>
      <c r="I19" s="4">
        <f>SUM(G19/E19)</f>
        <v>0.6898978018244073</v>
      </c>
      <c r="K19" s="4">
        <f>+U34</f>
        <v>0.72738300623293262</v>
      </c>
      <c r="P19">
        <f t="shared" ref="P19:Y19" si="0">SUM(P15:P17)</f>
        <v>293697</v>
      </c>
      <c r="Q19">
        <f t="shared" si="0"/>
        <v>419515</v>
      </c>
      <c r="R19">
        <f t="shared" si="0"/>
        <v>504330</v>
      </c>
      <c r="S19">
        <f t="shared" si="0"/>
        <v>608370</v>
      </c>
      <c r="T19">
        <f t="shared" si="0"/>
        <v>726555</v>
      </c>
      <c r="U19" s="9">
        <f t="shared" si="0"/>
        <v>928815</v>
      </c>
      <c r="V19">
        <f t="shared" si="0"/>
        <v>958928</v>
      </c>
      <c r="W19">
        <f t="shared" si="0"/>
        <v>1051869</v>
      </c>
      <c r="X19">
        <f t="shared" si="0"/>
        <v>1130571</v>
      </c>
      <c r="Y19">
        <f t="shared" si="0"/>
        <v>1276927</v>
      </c>
      <c r="AA19">
        <v>504330</v>
      </c>
      <c r="AB19">
        <v>676911</v>
      </c>
    </row>
    <row r="20" spans="1:28" x14ac:dyDescent="0.2">
      <c r="C20" s="7" t="s">
        <v>0</v>
      </c>
      <c r="G20" s="7" t="s">
        <v>0</v>
      </c>
      <c r="K20" s="7" t="s">
        <v>0</v>
      </c>
      <c r="S20" s="7" t="s">
        <v>0</v>
      </c>
      <c r="W20" s="7" t="s">
        <v>0</v>
      </c>
      <c r="X20" s="7" t="s">
        <v>0</v>
      </c>
      <c r="Y20" s="12" t="s">
        <v>0</v>
      </c>
      <c r="AA20" t="s">
        <v>0</v>
      </c>
      <c r="AB20" t="s">
        <v>0</v>
      </c>
    </row>
    <row r="21" spans="1:28" x14ac:dyDescent="0.2">
      <c r="G21" s="7" t="s">
        <v>0</v>
      </c>
      <c r="S21" s="7" t="s">
        <v>0</v>
      </c>
      <c r="W21" s="7" t="s">
        <v>0</v>
      </c>
      <c r="X21" s="7" t="s">
        <v>0</v>
      </c>
      <c r="Y21" s="5"/>
      <c r="AA21" t="s">
        <v>0</v>
      </c>
      <c r="AB21" t="s">
        <v>0</v>
      </c>
    </row>
    <row r="22" spans="1:28" x14ac:dyDescent="0.2">
      <c r="A22" t="s">
        <v>28</v>
      </c>
      <c r="G22" s="7" t="s">
        <v>0</v>
      </c>
      <c r="S22" s="7" t="s">
        <v>0</v>
      </c>
      <c r="W22" s="7" t="s">
        <v>0</v>
      </c>
      <c r="X22" s="7" t="s">
        <v>0</v>
      </c>
      <c r="Y22" s="5"/>
      <c r="AA22" t="s">
        <v>0</v>
      </c>
      <c r="AB22" t="s">
        <v>0</v>
      </c>
    </row>
    <row r="23" spans="1:28" x14ac:dyDescent="0.2">
      <c r="A23" s="10" t="s">
        <v>19</v>
      </c>
      <c r="B23" s="10" t="s">
        <v>19</v>
      </c>
      <c r="C23" s="10" t="s">
        <v>19</v>
      </c>
      <c r="D23" s="10" t="s">
        <v>19</v>
      </c>
      <c r="E23" t="s">
        <v>19</v>
      </c>
      <c r="K23" s="7" t="s">
        <v>0</v>
      </c>
      <c r="Y23" s="12" t="s">
        <v>0</v>
      </c>
    </row>
    <row r="24" spans="1:28" x14ac:dyDescent="0.2">
      <c r="B24" t="s">
        <v>106</v>
      </c>
      <c r="D24" s="7" t="s">
        <v>27</v>
      </c>
      <c r="E24">
        <f>E96</f>
        <v>125650</v>
      </c>
      <c r="F24" s="7" t="s">
        <v>22</v>
      </c>
      <c r="G24">
        <f>K96</f>
        <v>79373.073333333334</v>
      </c>
      <c r="I24" s="4">
        <f>SUM(G24/E24)</f>
        <v>0.63169974797718531</v>
      </c>
      <c r="K24" s="4">
        <f>+U39</f>
        <v>0.66714378368707083</v>
      </c>
      <c r="P24">
        <v>27456</v>
      </c>
      <c r="Q24">
        <f>40997+1400</f>
        <v>42397</v>
      </c>
      <c r="R24">
        <f>44715+2447</f>
        <v>47162</v>
      </c>
      <c r="S24">
        <v>63591</v>
      </c>
      <c r="T24">
        <v>83400</v>
      </c>
      <c r="U24" s="40">
        <f>85775+3715</f>
        <v>89490</v>
      </c>
      <c r="V24">
        <v>103741</v>
      </c>
      <c r="W24">
        <v>117594</v>
      </c>
      <c r="X24">
        <v>125324</v>
      </c>
      <c r="Y24">
        <v>134139</v>
      </c>
      <c r="AA24">
        <v>46511.613333333335</v>
      </c>
      <c r="AB24">
        <v>58946.31</v>
      </c>
    </row>
    <row r="25" spans="1:28" x14ac:dyDescent="0.2">
      <c r="B25" t="s">
        <v>23</v>
      </c>
      <c r="E25">
        <f>E144</f>
        <v>942044.49600000004</v>
      </c>
      <c r="G25">
        <f>K144</f>
        <v>592679.59200000006</v>
      </c>
      <c r="I25" s="4">
        <f>SUM(G25/E25)</f>
        <v>0.62914182346647884</v>
      </c>
      <c r="K25" s="4">
        <f>+U40</f>
        <v>0.62332627488816195</v>
      </c>
      <c r="P25">
        <v>136979</v>
      </c>
      <c r="Q25">
        <f>261896+15000</f>
        <v>276896</v>
      </c>
      <c r="R25">
        <f>352652+15011</f>
        <v>367663</v>
      </c>
      <c r="S25">
        <v>423958</v>
      </c>
      <c r="T25">
        <v>392177</v>
      </c>
      <c r="U25" s="40">
        <f>528886+38354</f>
        <v>567240</v>
      </c>
      <c r="V25">
        <v>505109</v>
      </c>
      <c r="W25">
        <v>571685</v>
      </c>
      <c r="X25">
        <v>608850</v>
      </c>
      <c r="Y25">
        <v>910021</v>
      </c>
      <c r="AA25">
        <v>373202.88</v>
      </c>
      <c r="AB25">
        <v>463795.886</v>
      </c>
    </row>
    <row r="26" spans="1:28" x14ac:dyDescent="0.2">
      <c r="B26" t="s">
        <v>24</v>
      </c>
      <c r="E26">
        <f>E188</f>
        <v>254275.66399999999</v>
      </c>
      <c r="G26">
        <f>K188</f>
        <v>153495.5413333333</v>
      </c>
      <c r="I26" s="4">
        <f>SUM(G26/E26)</f>
        <v>0.60365801004587405</v>
      </c>
      <c r="K26" s="4">
        <f>+U41</f>
        <v>0.58471800098276516</v>
      </c>
      <c r="P26">
        <v>16939</v>
      </c>
      <c r="Q26">
        <f>39967+4000</f>
        <v>43967</v>
      </c>
      <c r="R26">
        <f>75167+3011</f>
        <v>78178</v>
      </c>
      <c r="S26">
        <v>86854</v>
      </c>
      <c r="T26">
        <v>101166</v>
      </c>
      <c r="U26" s="40">
        <f>112961+15553</f>
        <v>128514</v>
      </c>
      <c r="V26">
        <v>174477</v>
      </c>
      <c r="W26">
        <v>201735</v>
      </c>
      <c r="X26">
        <v>220379</v>
      </c>
      <c r="Y26">
        <v>219788</v>
      </c>
      <c r="AA26">
        <v>81799.803333333344</v>
      </c>
      <c r="AB26">
        <v>107904.784</v>
      </c>
    </row>
    <row r="27" spans="1:28" x14ac:dyDescent="0.2">
      <c r="E27" s="10" t="s">
        <v>25</v>
      </c>
      <c r="G27" s="10" t="s">
        <v>25</v>
      </c>
      <c r="I27" s="10" t="s">
        <v>25</v>
      </c>
      <c r="K27" s="10" t="s">
        <v>25</v>
      </c>
      <c r="P27" s="7" t="s">
        <v>0</v>
      </c>
      <c r="S27" s="10" t="s">
        <v>25</v>
      </c>
      <c r="U27" s="9" t="s">
        <v>25</v>
      </c>
      <c r="W27" s="10" t="s">
        <v>25</v>
      </c>
      <c r="X27" s="10" t="s">
        <v>25</v>
      </c>
      <c r="Y27" s="11" t="s">
        <v>25</v>
      </c>
      <c r="AA27" t="s">
        <v>25</v>
      </c>
      <c r="AB27" t="s">
        <v>25</v>
      </c>
    </row>
    <row r="28" spans="1:28" x14ac:dyDescent="0.2">
      <c r="B28" t="s">
        <v>29</v>
      </c>
      <c r="D28" s="7" t="s">
        <v>27</v>
      </c>
      <c r="E28">
        <f>SUM(E24:E26)</f>
        <v>1321970.1600000001</v>
      </c>
      <c r="F28" s="7" t="s">
        <v>22</v>
      </c>
      <c r="G28">
        <f>SUM(G24:G26)</f>
        <v>825548.20666666678</v>
      </c>
      <c r="I28" s="4">
        <f>SUM(G28/E28)</f>
        <v>0.62448323846180209</v>
      </c>
      <c r="K28" s="4">
        <f>+U43</f>
        <v>0.62126290005601492</v>
      </c>
      <c r="P28">
        <f t="shared" ref="P28:Y28" si="1">SUM(P24:P26)</f>
        <v>181374</v>
      </c>
      <c r="Q28">
        <f t="shared" si="1"/>
        <v>363260</v>
      </c>
      <c r="R28">
        <f t="shared" si="1"/>
        <v>493003</v>
      </c>
      <c r="S28">
        <f t="shared" si="1"/>
        <v>574403</v>
      </c>
      <c r="T28">
        <f t="shared" si="1"/>
        <v>576743</v>
      </c>
      <c r="U28" s="9">
        <f t="shared" si="1"/>
        <v>785244</v>
      </c>
      <c r="V28">
        <f t="shared" si="1"/>
        <v>783327</v>
      </c>
      <c r="W28">
        <f t="shared" si="1"/>
        <v>891014</v>
      </c>
      <c r="X28">
        <f t="shared" si="1"/>
        <v>954553</v>
      </c>
      <c r="Y28">
        <f t="shared" si="1"/>
        <v>1263948</v>
      </c>
      <c r="AA28">
        <v>501514.29666666669</v>
      </c>
      <c r="AB28">
        <v>630646.98</v>
      </c>
    </row>
    <row r="29" spans="1:28" x14ac:dyDescent="0.2">
      <c r="M29" s="7" t="s">
        <v>0</v>
      </c>
    </row>
    <row r="30" spans="1:28" x14ac:dyDescent="0.2">
      <c r="B30" t="s">
        <v>26</v>
      </c>
      <c r="O30" s="16"/>
      <c r="P30" s="16">
        <f t="shared" ref="P30:X30" si="2">+P15/$Y15</f>
        <v>2.2813626473549183E-2</v>
      </c>
      <c r="Q30" s="16">
        <f t="shared" si="2"/>
        <v>9.8277205858474326E-2</v>
      </c>
      <c r="R30" s="16">
        <f t="shared" si="2"/>
        <v>7.4976455687981031E-2</v>
      </c>
      <c r="S30" s="16">
        <f t="shared" si="2"/>
        <v>0.13885460981391876</v>
      </c>
      <c r="T30" s="16">
        <f t="shared" si="2"/>
        <v>0.68677134413665442</v>
      </c>
      <c r="U30" s="38">
        <f t="shared" si="2"/>
        <v>0.77700289026726854</v>
      </c>
      <c r="V30" s="16">
        <f t="shared" si="2"/>
        <v>0.90873737537752086</v>
      </c>
      <c r="W30" s="16">
        <f t="shared" si="2"/>
        <v>0.9477965771441561</v>
      </c>
      <c r="X30" s="16">
        <f t="shared" si="2"/>
        <v>0.99056603773584906</v>
      </c>
    </row>
    <row r="31" spans="1:28" x14ac:dyDescent="0.2">
      <c r="B31" t="s">
        <v>30</v>
      </c>
      <c r="D31" s="7" t="s">
        <v>27</v>
      </c>
      <c r="E31">
        <f>SUM(E19-E28)</f>
        <v>17094.839999999851</v>
      </c>
      <c r="F31" s="7" t="s">
        <v>22</v>
      </c>
      <c r="G31">
        <f>SUM(G19-G28)</f>
        <v>98269.793333333218</v>
      </c>
      <c r="O31" s="16"/>
      <c r="P31" s="16">
        <f t="shared" ref="P31:X34" si="3">+P16/$Y16</f>
        <v>0.20491871058088723</v>
      </c>
      <c r="Q31" s="16">
        <f t="shared" ref="Q31:S32" si="4">+Q16/$Y16</f>
        <v>0.33105987141033033</v>
      </c>
      <c r="R31" s="16">
        <f t="shared" si="4"/>
        <v>0.42103720122554311</v>
      </c>
      <c r="S31" s="16">
        <f t="shared" si="4"/>
        <v>0.48706747037894971</v>
      </c>
      <c r="T31" s="16">
        <f t="shared" si="3"/>
        <v>0.48752495492273773</v>
      </c>
      <c r="U31" s="38">
        <f t="shared" si="3"/>
        <v>0.67312299783392882</v>
      </c>
      <c r="V31" s="16">
        <f t="shared" si="3"/>
        <v>0.6617095102015832</v>
      </c>
      <c r="W31" s="16">
        <f t="shared" si="3"/>
        <v>0.73413167607946483</v>
      </c>
      <c r="X31" s="16">
        <f t="shared" si="3"/>
        <v>0.81276639614939772</v>
      </c>
    </row>
    <row r="32" spans="1:28" x14ac:dyDescent="0.2">
      <c r="D32" s="7"/>
      <c r="F32" s="7"/>
      <c r="O32" s="16"/>
      <c r="P32" s="16">
        <f t="shared" si="3"/>
        <v>0.44960373086047012</v>
      </c>
      <c r="Q32" s="16">
        <f t="shared" si="4"/>
        <v>0.44539393285888867</v>
      </c>
      <c r="R32" s="16">
        <f t="shared" si="4"/>
        <v>0.46291603766803247</v>
      </c>
      <c r="S32" s="16">
        <f t="shared" si="4"/>
        <v>0.61875494213212567</v>
      </c>
      <c r="T32" s="16">
        <f t="shared" si="3"/>
        <v>0.8446148731219898</v>
      </c>
      <c r="U32" s="38">
        <f t="shared" si="3"/>
        <v>0.92692833009848319</v>
      </c>
      <c r="V32" s="16">
        <f t="shared" si="3"/>
        <v>1.0370704837898066</v>
      </c>
      <c r="W32" s="16">
        <f t="shared" si="3"/>
        <v>1.1300364819207822</v>
      </c>
      <c r="X32" s="16">
        <f t="shared" si="3"/>
        <v>1.1309844727194307</v>
      </c>
    </row>
    <row r="33" spans="4:24" x14ac:dyDescent="0.2">
      <c r="D33" s="7"/>
      <c r="F33" s="7"/>
    </row>
    <row r="34" spans="4:24" x14ac:dyDescent="0.2">
      <c r="O34" s="16"/>
      <c r="P34" s="16">
        <f t="shared" si="3"/>
        <v>0.23000296806317042</v>
      </c>
      <c r="Q34" s="16">
        <f>+Q19/$Y19</f>
        <v>0.32853483401948586</v>
      </c>
      <c r="R34" s="16">
        <f>+R19/$Y19</f>
        <v>0.39495601549657888</v>
      </c>
      <c r="S34" s="16">
        <f>+S19/$Y19</f>
        <v>0.47643287360984615</v>
      </c>
      <c r="T34" s="16">
        <f t="shared" si="3"/>
        <v>0.56898710732876667</v>
      </c>
      <c r="U34" s="38">
        <f t="shared" si="3"/>
        <v>0.72738300623293262</v>
      </c>
      <c r="V34" s="16">
        <f t="shared" si="3"/>
        <v>0.75096540366050679</v>
      </c>
      <c r="W34" s="16">
        <f t="shared" si="3"/>
        <v>0.82375030052618514</v>
      </c>
      <c r="X34" s="16">
        <f t="shared" si="3"/>
        <v>0.88538420755454306</v>
      </c>
    </row>
    <row r="39" spans="4:24" x14ac:dyDescent="0.2">
      <c r="O39" s="16">
        <f t="shared" ref="O39:X39" si="5">+O24/$Y24</f>
        <v>0</v>
      </c>
      <c r="P39" s="16">
        <f t="shared" si="5"/>
        <v>0.20468320175340504</v>
      </c>
      <c r="Q39" s="16">
        <f t="shared" si="5"/>
        <v>0.31606766115745605</v>
      </c>
      <c r="R39" s="16">
        <f t="shared" si="5"/>
        <v>0.35159051431723809</v>
      </c>
      <c r="S39" s="16">
        <f t="shared" si="5"/>
        <v>0.47406794444568695</v>
      </c>
      <c r="T39" s="16">
        <f t="shared" si="5"/>
        <v>0.62174311721423303</v>
      </c>
      <c r="U39" s="38">
        <f t="shared" si="5"/>
        <v>0.66714378368707083</v>
      </c>
      <c r="V39" s="16">
        <f t="shared" si="5"/>
        <v>0.77338432521488898</v>
      </c>
      <c r="W39" s="16">
        <f t="shared" si="5"/>
        <v>0.87665779527206855</v>
      </c>
      <c r="X39" s="16">
        <f t="shared" si="5"/>
        <v>0.93428458539276427</v>
      </c>
    </row>
    <row r="40" spans="4:24" x14ac:dyDescent="0.2">
      <c r="O40" s="16">
        <f>+O25/$Y25</f>
        <v>0</v>
      </c>
      <c r="P40" s="16">
        <f t="shared" ref="P40:X43" si="6">+P25/$Y25</f>
        <v>0.15052290002098853</v>
      </c>
      <c r="Q40" s="16">
        <f t="shared" ref="Q40:S41" si="7">+Q25/$Y25</f>
        <v>0.30427429696677327</v>
      </c>
      <c r="R40" s="16">
        <f t="shared" si="7"/>
        <v>0.4040159512802452</v>
      </c>
      <c r="S40" s="16">
        <f t="shared" si="7"/>
        <v>0.46587716107650262</v>
      </c>
      <c r="T40" s="16">
        <f t="shared" si="6"/>
        <v>0.4309537911762476</v>
      </c>
      <c r="U40" s="38">
        <f t="shared" si="6"/>
        <v>0.62332627488816195</v>
      </c>
      <c r="V40" s="16">
        <f t="shared" si="6"/>
        <v>0.55505202627192118</v>
      </c>
      <c r="W40" s="16">
        <f t="shared" si="6"/>
        <v>0.62821077755348498</v>
      </c>
      <c r="X40" s="16">
        <f t="shared" si="6"/>
        <v>0.66905049443913933</v>
      </c>
    </row>
    <row r="41" spans="4:24" x14ac:dyDescent="0.2">
      <c r="O41" s="16">
        <f>+O26/$Y26</f>
        <v>0</v>
      </c>
      <c r="P41" s="16">
        <f t="shared" si="6"/>
        <v>7.7069721731850699E-2</v>
      </c>
      <c r="Q41" s="16">
        <f t="shared" si="7"/>
        <v>0.20004276848599559</v>
      </c>
      <c r="R41" s="16">
        <f t="shared" si="7"/>
        <v>0.35569730831528562</v>
      </c>
      <c r="S41" s="16">
        <f t="shared" si="7"/>
        <v>0.39517171092143338</v>
      </c>
      <c r="T41" s="16">
        <f t="shared" si="6"/>
        <v>0.46028900576919579</v>
      </c>
      <c r="U41" s="38">
        <f t="shared" si="6"/>
        <v>0.58471800098276516</v>
      </c>
      <c r="V41" s="16">
        <f t="shared" si="6"/>
        <v>0.79384224798442138</v>
      </c>
      <c r="W41" s="16">
        <f t="shared" si="6"/>
        <v>0.91786175769377765</v>
      </c>
      <c r="X41" s="16">
        <f t="shared" si="6"/>
        <v>1.0026889548109996</v>
      </c>
    </row>
    <row r="43" spans="4:24" x14ac:dyDescent="0.2">
      <c r="O43" s="16">
        <f>+O28/$Y28</f>
        <v>0</v>
      </c>
      <c r="P43" s="16">
        <f t="shared" si="6"/>
        <v>0.14349799200600025</v>
      </c>
      <c r="Q43" s="16">
        <f>+Q28/$Y28</f>
        <v>0.28740106396782145</v>
      </c>
      <c r="R43" s="16">
        <f>+R28/$Y28</f>
        <v>0.39005006535078973</v>
      </c>
      <c r="S43" s="16">
        <f>+S28/$Y28</f>
        <v>0.45445144895201384</v>
      </c>
      <c r="T43" s="16">
        <f t="shared" si="6"/>
        <v>0.45630279093760184</v>
      </c>
      <c r="U43" s="38">
        <f t="shared" si="6"/>
        <v>0.62126290005601492</v>
      </c>
      <c r="V43" s="16">
        <f t="shared" si="6"/>
        <v>0.61974622373705246</v>
      </c>
      <c r="W43" s="16">
        <f t="shared" si="6"/>
        <v>0.70494514014817067</v>
      </c>
      <c r="X43" s="16">
        <f t="shared" si="6"/>
        <v>0.75521540443119495</v>
      </c>
    </row>
    <row r="55" spans="1:44" x14ac:dyDescent="0.2">
      <c r="A55" s="41" t="s">
        <v>103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</row>
    <row r="57" spans="1:44" x14ac:dyDescent="0.2">
      <c r="M57" t="s">
        <v>3</v>
      </c>
      <c r="O57" s="7" t="s">
        <v>31</v>
      </c>
      <c r="P57" s="7" t="s">
        <v>32</v>
      </c>
      <c r="AH57" t="s">
        <v>21</v>
      </c>
      <c r="AK57" t="e">
        <v>#VALUE!</v>
      </c>
      <c r="AM57" t="e">
        <v>#VALUE!</v>
      </c>
      <c r="AR57" t="s">
        <v>21</v>
      </c>
    </row>
    <row r="58" spans="1:44" x14ac:dyDescent="0.2">
      <c r="A58" t="s">
        <v>18</v>
      </c>
      <c r="E58" s="9" t="s">
        <v>5</v>
      </c>
      <c r="G58" t="s">
        <v>0</v>
      </c>
      <c r="K58" t="s">
        <v>6</v>
      </c>
      <c r="M58" t="s">
        <v>7</v>
      </c>
      <c r="O58" t="s">
        <v>33</v>
      </c>
      <c r="P58" s="7" t="s">
        <v>34</v>
      </c>
      <c r="Q58" s="7" t="s">
        <v>35</v>
      </c>
      <c r="R58" s="7" t="s">
        <v>36</v>
      </c>
      <c r="S58" s="7" t="s">
        <v>37</v>
      </c>
      <c r="T58" s="7" t="s">
        <v>38</v>
      </c>
      <c r="Y58" s="7" t="s">
        <v>39</v>
      </c>
      <c r="Z58" s="7" t="s">
        <v>40</v>
      </c>
      <c r="AA58" s="7" t="s">
        <v>41</v>
      </c>
      <c r="AB58" s="7" t="s">
        <v>42</v>
      </c>
      <c r="AC58" s="7" t="s">
        <v>43</v>
      </c>
    </row>
    <row r="59" spans="1:44" x14ac:dyDescent="0.2">
      <c r="A59" s="10" t="s">
        <v>19</v>
      </c>
      <c r="B59" t="s">
        <v>20</v>
      </c>
      <c r="E59" s="10" t="s">
        <v>19</v>
      </c>
      <c r="G59" t="s">
        <v>0</v>
      </c>
      <c r="K59" s="10" t="s">
        <v>19</v>
      </c>
      <c r="M59" s="10" t="s">
        <v>19</v>
      </c>
      <c r="O59" s="10" t="s">
        <v>19</v>
      </c>
    </row>
    <row r="60" spans="1:44" x14ac:dyDescent="0.2">
      <c r="B60" t="s">
        <v>44</v>
      </c>
      <c r="E60">
        <v>1000</v>
      </c>
      <c r="K60">
        <v>948</v>
      </c>
      <c r="M60" s="4">
        <f t="shared" ref="M60:M67" si="8">SUM(K60/E60)</f>
        <v>0.94799999999999995</v>
      </c>
      <c r="O60" s="5">
        <f>(IF($O$7=11,S60/P60,IF($O$7=12,T60/P60,IF($O$7=1,Y60/P60,IF($O$7=2,Z60/P60,IF($O$7=3,AA60/P60,IF($O$7=4,AB60/P60,IF($O$7=5,AC60/P60,IF($O$7=6,P60/P60,0)))))))))*100</f>
        <v>0</v>
      </c>
      <c r="P60">
        <v>23335</v>
      </c>
      <c r="Q60">
        <v>9947</v>
      </c>
      <c r="R60">
        <v>0</v>
      </c>
      <c r="S60">
        <f>9947-1500</f>
        <v>8447</v>
      </c>
      <c r="T60">
        <v>9947</v>
      </c>
      <c r="Y60">
        <v>9947</v>
      </c>
      <c r="Z60">
        <v>20578</v>
      </c>
      <c r="AA60">
        <v>21054</v>
      </c>
      <c r="AB60">
        <v>21054</v>
      </c>
      <c r="AC60">
        <v>21054</v>
      </c>
    </row>
    <row r="61" spans="1:44" x14ac:dyDescent="0.2">
      <c r="B61" t="s">
        <v>45</v>
      </c>
      <c r="E61">
        <v>4000</v>
      </c>
      <c r="K61">
        <v>1773</v>
      </c>
      <c r="L61" s="7" t="s">
        <v>0</v>
      </c>
      <c r="M61" s="4">
        <f t="shared" si="8"/>
        <v>0.44324999999999998</v>
      </c>
      <c r="O61" s="5">
        <f>(IF($O$7=11,S61/P61,IF($O$7=12,T61/P61,IF($O$7=1,Y61/P61,IF($O$7=2,Z61/P61,IF($O$7=3,AA61/P61,IF($O$7=4,AB61/P61,IF($O$7=5,AC61/P61,IF($O$7=6,P61/P61,0)))))))))*100</f>
        <v>0</v>
      </c>
      <c r="P61">
        <v>3456</v>
      </c>
      <c r="Q61">
        <v>0</v>
      </c>
      <c r="R61">
        <v>402</v>
      </c>
      <c r="S61">
        <v>1626</v>
      </c>
      <c r="T61">
        <v>1726</v>
      </c>
      <c r="Y61">
        <v>2360</v>
      </c>
      <c r="Z61">
        <v>2584</v>
      </c>
      <c r="AA61">
        <v>2791</v>
      </c>
      <c r="AB61">
        <v>2891</v>
      </c>
      <c r="AC61">
        <v>3194</v>
      </c>
    </row>
    <row r="62" spans="1:44" x14ac:dyDescent="0.2">
      <c r="B62" t="s">
        <v>46</v>
      </c>
      <c r="E62">
        <v>10400</v>
      </c>
      <c r="K62">
        <v>7250</v>
      </c>
      <c r="M62" s="4">
        <f t="shared" si="8"/>
        <v>0.69711538461538458</v>
      </c>
      <c r="O62" s="5"/>
    </row>
    <row r="63" spans="1:44" x14ac:dyDescent="0.2">
      <c r="B63" t="s">
        <v>129</v>
      </c>
      <c r="E63">
        <v>7350</v>
      </c>
      <c r="K63">
        <v>1484</v>
      </c>
      <c r="M63" s="4">
        <f t="shared" si="8"/>
        <v>0.20190476190476189</v>
      </c>
      <c r="O63" s="5"/>
    </row>
    <row r="64" spans="1:44" x14ac:dyDescent="0.2">
      <c r="B64" t="s">
        <v>47</v>
      </c>
      <c r="E64">
        <v>3200</v>
      </c>
      <c r="K64">
        <v>2120</v>
      </c>
      <c r="M64" s="4">
        <f t="shared" si="8"/>
        <v>0.66249999999999998</v>
      </c>
      <c r="O64" s="5"/>
    </row>
    <row r="65" spans="1:44" x14ac:dyDescent="0.2">
      <c r="B65" t="s">
        <v>48</v>
      </c>
      <c r="E65">
        <v>3000</v>
      </c>
      <c r="K65">
        <v>1870</v>
      </c>
      <c r="M65" s="4">
        <f t="shared" si="8"/>
        <v>0.62333333333333329</v>
      </c>
      <c r="O65" s="5">
        <f>(IF($O$7=11,S65/P65,IF($O$7=12,T65/P65,IF($O$7=1,Y65/P65,IF($O$7=2,Z65/P65,IF($O$7=3,AA65/P65,IF($O$7=4,AB65/P65,IF($O$7=5,AC65/P65,IF($O$7=6,P65/P65,0)))))))))*100</f>
        <v>0</v>
      </c>
      <c r="P65">
        <v>5006</v>
      </c>
      <c r="Q65">
        <v>0</v>
      </c>
      <c r="R65">
        <v>107</v>
      </c>
      <c r="S65">
        <v>426</v>
      </c>
      <c r="T65">
        <v>546</v>
      </c>
      <c r="Y65">
        <v>661</v>
      </c>
      <c r="Z65">
        <v>3210</v>
      </c>
      <c r="AA65">
        <v>4051</v>
      </c>
      <c r="AB65">
        <v>4494</v>
      </c>
      <c r="AC65">
        <v>4796</v>
      </c>
    </row>
    <row r="66" spans="1:44" x14ac:dyDescent="0.2">
      <c r="B66" s="6" t="s">
        <v>49</v>
      </c>
      <c r="E66">
        <v>4200</v>
      </c>
      <c r="K66">
        <v>1278</v>
      </c>
      <c r="M66" s="4">
        <f t="shared" si="8"/>
        <v>0.30428571428571427</v>
      </c>
      <c r="O66" s="5">
        <f>(IF($O$7=11,S66/P66,IF($O$7=12,T66/P66,IF($O$7=1,Y66/P66,IF($O$7=2,Z66/P66,IF($O$7=3,AA66/P66,IF($O$7=4,AB66/P66,IF($O$7=5,AC66/P66,IF($O$7=6,P66/P66,0)))))))))*100</f>
        <v>0</v>
      </c>
      <c r="P66">
        <v>1980</v>
      </c>
      <c r="Q66">
        <v>0</v>
      </c>
      <c r="R66">
        <v>0</v>
      </c>
      <c r="S66">
        <v>679</v>
      </c>
      <c r="T66">
        <v>679</v>
      </c>
      <c r="Y66">
        <v>679</v>
      </c>
      <c r="Z66">
        <v>1800</v>
      </c>
      <c r="AA66">
        <v>1800</v>
      </c>
      <c r="AB66">
        <v>1800</v>
      </c>
      <c r="AC66">
        <v>1800</v>
      </c>
    </row>
    <row r="67" spans="1:44" x14ac:dyDescent="0.2">
      <c r="B67" t="s">
        <v>50</v>
      </c>
      <c r="E67">
        <v>92700</v>
      </c>
      <c r="I67" s="7" t="s">
        <v>0</v>
      </c>
      <c r="K67">
        <v>78579</v>
      </c>
      <c r="M67" s="4">
        <f t="shared" si="8"/>
        <v>0.84766990291262134</v>
      </c>
      <c r="O67" s="5">
        <f>(IF($O$7=11,S67/P67,IF($O$7=12,T67/P67,IF($O$7=1,Y67/P67,IF($O$7=2,Z67/P67,IF($O$7=3,AA67/P67,IF($O$7=4,AB67/P67,IF($O$7=5,AC67/P67,IF($O$7=6,P67/P67,0)))))))))*100</f>
        <v>0</v>
      </c>
      <c r="P67">
        <v>7516</v>
      </c>
      <c r="Q67">
        <v>4984</v>
      </c>
      <c r="R67">
        <v>133</v>
      </c>
      <c r="S67">
        <v>126</v>
      </c>
      <c r="T67">
        <v>250</v>
      </c>
      <c r="Y67">
        <v>403</v>
      </c>
      <c r="Z67">
        <v>735</v>
      </c>
      <c r="AA67">
        <v>975</v>
      </c>
      <c r="AB67">
        <v>1402</v>
      </c>
      <c r="AC67">
        <v>4830</v>
      </c>
      <c r="AH67" t="s">
        <v>23</v>
      </c>
      <c r="AK67">
        <f>SUM(E109)</f>
        <v>953305</v>
      </c>
      <c r="AM67">
        <f>SUM(K109)</f>
        <v>623280</v>
      </c>
      <c r="AR67" t="s">
        <v>23</v>
      </c>
    </row>
    <row r="68" spans="1:44" x14ac:dyDescent="0.2">
      <c r="E68" s="10" t="s">
        <v>25</v>
      </c>
      <c r="K68" s="10" t="s">
        <v>25</v>
      </c>
      <c r="M68" s="10" t="s">
        <v>25</v>
      </c>
      <c r="O68" s="10" t="s">
        <v>25</v>
      </c>
      <c r="P68" s="10" t="s">
        <v>25</v>
      </c>
      <c r="Q68" s="10" t="s">
        <v>25</v>
      </c>
      <c r="R68" s="10" t="s">
        <v>25</v>
      </c>
      <c r="S68" s="10" t="s">
        <v>25</v>
      </c>
      <c r="T68" s="10" t="s">
        <v>25</v>
      </c>
      <c r="Y68" s="10" t="s">
        <v>25</v>
      </c>
      <c r="Z68" s="10" t="s">
        <v>25</v>
      </c>
      <c r="AA68" s="10" t="s">
        <v>25</v>
      </c>
      <c r="AB68" s="10" t="s">
        <v>25</v>
      </c>
      <c r="AC68" s="10" t="s">
        <v>25</v>
      </c>
      <c r="AH68" t="s">
        <v>51</v>
      </c>
      <c r="AK68" t="e">
        <v>#VALUE!</v>
      </c>
      <c r="AM68" t="e">
        <v>#VALUE!</v>
      </c>
      <c r="AR68" t="s">
        <v>51</v>
      </c>
    </row>
    <row r="69" spans="1:44" x14ac:dyDescent="0.2">
      <c r="B69" t="s">
        <v>26</v>
      </c>
      <c r="E69">
        <f>SUM(E60:E67)</f>
        <v>125850</v>
      </c>
      <c r="I69" t="s">
        <v>0</v>
      </c>
      <c r="K69">
        <f>SUM(K60:K67)</f>
        <v>95302</v>
      </c>
      <c r="M69" s="4">
        <f>SUM(K69/E69)</f>
        <v>0.75726658720699247</v>
      </c>
      <c r="O69" s="4">
        <f>IF($O$7=11,S69/P69,IF($O$7=12,T69/P69,IF($O$7=1,Y69/P69,IF($O$7=2,Z69/P69,IF($O$7=3,AA69/P69,IF($O$7=4,AB69/P69,IF($O$7=5,AC69/P69,IF($O$7=6,P69/P69,0))))))))</f>
        <v>0</v>
      </c>
      <c r="P69">
        <v>51126</v>
      </c>
      <c r="Q69">
        <v>14948</v>
      </c>
      <c r="R69">
        <f>SUM(R60:R67)</f>
        <v>642</v>
      </c>
      <c r="S69">
        <f>SUM(S60:S67)</f>
        <v>11304</v>
      </c>
      <c r="T69">
        <f>SUM(T60:T67)</f>
        <v>13148</v>
      </c>
      <c r="Y69">
        <f>SUM(Y60:Y67)</f>
        <v>14050</v>
      </c>
      <c r="Z69">
        <f>SUM(Z60:Z67)</f>
        <v>28907</v>
      </c>
      <c r="AA69">
        <f>SUM(AA60:AA67)</f>
        <v>30671</v>
      </c>
      <c r="AB69">
        <f>SUM(AB60:AB67)</f>
        <v>31641</v>
      </c>
      <c r="AC69">
        <f>SUM(AC60:AC67)</f>
        <v>35674</v>
      </c>
      <c r="AH69" t="s">
        <v>52</v>
      </c>
      <c r="AK69">
        <f>SUM(E156)</f>
        <v>259910</v>
      </c>
      <c r="AM69">
        <f>SUM(K156)</f>
        <v>205236</v>
      </c>
      <c r="AR69" t="s">
        <v>52</v>
      </c>
    </row>
    <row r="71" spans="1:44" x14ac:dyDescent="0.2">
      <c r="A71" t="s">
        <v>53</v>
      </c>
      <c r="E71" s="9" t="s">
        <v>5</v>
      </c>
      <c r="G71" t="s">
        <v>54</v>
      </c>
      <c r="I71" t="s">
        <v>55</v>
      </c>
      <c r="K71" t="s">
        <v>56</v>
      </c>
      <c r="M71" t="s">
        <v>7</v>
      </c>
      <c r="O71" s="7" t="s">
        <v>0</v>
      </c>
      <c r="P71" s="7" t="s">
        <v>34</v>
      </c>
      <c r="Q71" s="7" t="s">
        <v>35</v>
      </c>
      <c r="R71" s="7" t="s">
        <v>36</v>
      </c>
      <c r="S71" s="7" t="s">
        <v>37</v>
      </c>
      <c r="T71" s="7" t="s">
        <v>38</v>
      </c>
      <c r="Y71" s="7" t="s">
        <v>39</v>
      </c>
      <c r="Z71" s="7" t="s">
        <v>40</v>
      </c>
      <c r="AA71" s="7" t="s">
        <v>41</v>
      </c>
      <c r="AB71" s="7" t="s">
        <v>42</v>
      </c>
      <c r="AC71" s="7" t="s">
        <v>43</v>
      </c>
      <c r="AK71" s="10" t="s">
        <v>25</v>
      </c>
      <c r="AM71" s="10" t="s">
        <v>25</v>
      </c>
    </row>
    <row r="72" spans="1:44" x14ac:dyDescent="0.2">
      <c r="A72" s="10" t="s">
        <v>19</v>
      </c>
      <c r="B72" s="10" t="s">
        <v>19</v>
      </c>
      <c r="C72" t="s">
        <v>57</v>
      </c>
      <c r="E72" s="10" t="s">
        <v>19</v>
      </c>
      <c r="G72" s="10" t="s">
        <v>19</v>
      </c>
      <c r="I72" s="10" t="s">
        <v>19</v>
      </c>
      <c r="K72" s="10" t="s">
        <v>19</v>
      </c>
      <c r="M72" s="10" t="s">
        <v>19</v>
      </c>
    </row>
    <row r="73" spans="1:44" x14ac:dyDescent="0.2">
      <c r="B73" s="15" t="s">
        <v>58</v>
      </c>
      <c r="E73" s="5">
        <v>52113</v>
      </c>
      <c r="G73">
        <v>34077</v>
      </c>
      <c r="I73">
        <v>0</v>
      </c>
      <c r="K73">
        <f t="shared" ref="K73:K89" si="9">SUM(G73+I73)</f>
        <v>34077</v>
      </c>
      <c r="M73" s="4">
        <f t="shared" ref="M73:M82" si="10">SUM(K73/E73)</f>
        <v>0.65390593517932183</v>
      </c>
      <c r="O73" s="4">
        <f>IF($O$7=11,S73/P73,IF($O$7=12,T73/P73,IF($O$7=1,Y73/P73,IF($O$7=2,Z73/P73,IF($O$7=3,AA73/P73,IF($O$7=4,AB73/P73,IF($O$7=5,AC73/P73,IF($O$7=6,P73/P73,0))))))))</f>
        <v>0</v>
      </c>
      <c r="P73">
        <v>25000</v>
      </c>
      <c r="Q73">
        <v>28327</v>
      </c>
      <c r="R73">
        <v>25000</v>
      </c>
      <c r="S73">
        <v>28327</v>
      </c>
      <c r="T73">
        <v>28327</v>
      </c>
      <c r="Y73">
        <v>28327</v>
      </c>
      <c r="Z73">
        <v>25000</v>
      </c>
      <c r="AA73">
        <v>25000</v>
      </c>
      <c r="AB73">
        <v>25000</v>
      </c>
      <c r="AC73">
        <v>25000</v>
      </c>
      <c r="AH73" t="s">
        <v>26</v>
      </c>
      <c r="AK73" t="e">
        <f>SUM(AK57:AK69)</f>
        <v>#VALUE!</v>
      </c>
      <c r="AM73" t="e">
        <f>SUM(AM57:AM69)</f>
        <v>#VALUE!</v>
      </c>
      <c r="AR73" t="s">
        <v>26</v>
      </c>
    </row>
    <row r="74" spans="1:44" x14ac:dyDescent="0.2">
      <c r="B74" s="15" t="s">
        <v>100</v>
      </c>
      <c r="D74" s="7" t="s">
        <v>0</v>
      </c>
      <c r="E74">
        <v>2497</v>
      </c>
      <c r="G74">
        <v>0</v>
      </c>
      <c r="H74" t="s">
        <v>0</v>
      </c>
      <c r="K74">
        <f>SUM(G74+I74)</f>
        <v>0</v>
      </c>
      <c r="M74" s="4">
        <f>SUM(K74/E74)</f>
        <v>0</v>
      </c>
      <c r="O74" s="5">
        <f>(IF($O$7=11,S74/P74,IF($O$7=12,T74/P74,IF($O$7=1,Y74/P74,IF($O$7=2,Z74/P74,IF($O$7=3,AA74/P74,IF($O$7=4,AB74/P74,IF($O$7=5,AC74/P74,IF($O$7=6,P74/P74,0)))))))))*100</f>
        <v>0</v>
      </c>
      <c r="P74">
        <v>13165</v>
      </c>
      <c r="Q74">
        <v>837</v>
      </c>
      <c r="R74">
        <v>3358</v>
      </c>
      <c r="S74">
        <v>3779</v>
      </c>
      <c r="T74">
        <v>4665</v>
      </c>
      <c r="Y74">
        <v>6102</v>
      </c>
      <c r="Z74">
        <v>8128</v>
      </c>
      <c r="AA74">
        <v>9188</v>
      </c>
      <c r="AB74">
        <v>10868</v>
      </c>
      <c r="AC74">
        <v>11987</v>
      </c>
      <c r="AH74" t="s">
        <v>28</v>
      </c>
      <c r="AR74" t="s">
        <v>28</v>
      </c>
    </row>
    <row r="75" spans="1:44" x14ac:dyDescent="0.2">
      <c r="B75" s="15" t="s">
        <v>59</v>
      </c>
      <c r="D75" s="7" t="s">
        <v>0</v>
      </c>
      <c r="E75">
        <v>12508</v>
      </c>
      <c r="G75">
        <v>7890</v>
      </c>
      <c r="H75" t="s">
        <v>0</v>
      </c>
      <c r="K75">
        <f t="shared" si="9"/>
        <v>7890</v>
      </c>
      <c r="M75" s="4">
        <f t="shared" si="10"/>
        <v>0.63079629037416052</v>
      </c>
      <c r="O75" s="5">
        <f>(IF($O$7=11,S75/P75,IF($O$7=12,T75/P75,IF($O$7=1,Y75/P75,IF($O$7=2,Z75/P75,IF($O$7=3,AA75/P75,IF($O$7=4,AB75/P75,IF($O$7=5,AC75/P75,IF($O$7=6,P75/P75,0)))))))))*100</f>
        <v>0</v>
      </c>
      <c r="P75">
        <v>13165</v>
      </c>
      <c r="Q75">
        <v>837</v>
      </c>
      <c r="R75">
        <v>3358</v>
      </c>
      <c r="S75">
        <v>3779</v>
      </c>
      <c r="T75">
        <v>4665</v>
      </c>
      <c r="Y75">
        <v>6102</v>
      </c>
      <c r="Z75">
        <v>8128</v>
      </c>
      <c r="AA75">
        <v>9188</v>
      </c>
      <c r="AB75">
        <v>10868</v>
      </c>
      <c r="AC75">
        <v>11987</v>
      </c>
      <c r="AH75" t="s">
        <v>28</v>
      </c>
      <c r="AR75" t="s">
        <v>28</v>
      </c>
    </row>
    <row r="76" spans="1:44" x14ac:dyDescent="0.2">
      <c r="B76" s="15" t="s">
        <v>60</v>
      </c>
      <c r="E76">
        <v>950</v>
      </c>
      <c r="G76">
        <f>+B!J30</f>
        <v>0</v>
      </c>
      <c r="K76">
        <f t="shared" si="9"/>
        <v>0</v>
      </c>
      <c r="M76" s="4">
        <f t="shared" si="10"/>
        <v>0</v>
      </c>
      <c r="O76" s="5"/>
    </row>
    <row r="77" spans="1:44" x14ac:dyDescent="0.2">
      <c r="B77" s="6" t="s">
        <v>83</v>
      </c>
      <c r="E77">
        <v>0</v>
      </c>
      <c r="G77">
        <v>0</v>
      </c>
      <c r="K77">
        <f>SUM(G77+I77)</f>
        <v>0</v>
      </c>
      <c r="M77" s="4">
        <v>0</v>
      </c>
      <c r="O77" s="5"/>
    </row>
    <row r="78" spans="1:44" x14ac:dyDescent="0.2">
      <c r="B78" s="15" t="s">
        <v>61</v>
      </c>
      <c r="E78">
        <v>-163</v>
      </c>
      <c r="G78">
        <v>-76</v>
      </c>
      <c r="K78">
        <f t="shared" si="9"/>
        <v>-76</v>
      </c>
      <c r="M78" s="4">
        <v>0</v>
      </c>
      <c r="O78" s="5"/>
    </row>
    <row r="79" spans="1:44" x14ac:dyDescent="0.2">
      <c r="B79" s="15" t="s">
        <v>62</v>
      </c>
      <c r="D79" s="7" t="s">
        <v>0</v>
      </c>
      <c r="E79">
        <v>14005</v>
      </c>
      <c r="G79">
        <v>10828</v>
      </c>
      <c r="K79">
        <f t="shared" si="9"/>
        <v>10828</v>
      </c>
      <c r="M79" s="4">
        <f t="shared" si="10"/>
        <v>0.77315244555515883</v>
      </c>
      <c r="O79" s="5">
        <f>(IF($O$7=11,S79/P79,IF($O$7=12,T79/P79,IF($O$7=1,Y79/P79,IF($O$7=2,Z79/P79,IF($O$7=3,AA79/P79,IF($O$7=4,AB79/P79,IF($O$7=5,AC79/P79,IF($O$7=6,P79/P79,0)))))))))*100</f>
        <v>0</v>
      </c>
      <c r="P79">
        <v>14261</v>
      </c>
      <c r="Q79">
        <v>0</v>
      </c>
      <c r="R79">
        <v>5881</v>
      </c>
      <c r="S79">
        <v>4840</v>
      </c>
      <c r="T79">
        <v>5298</v>
      </c>
      <c r="Y79">
        <v>6036</v>
      </c>
      <c r="Z79">
        <v>10860</v>
      </c>
      <c r="AA79">
        <v>11679</v>
      </c>
      <c r="AB79">
        <v>12532</v>
      </c>
      <c r="AC79">
        <v>13386</v>
      </c>
      <c r="AH79" s="10" t="s">
        <v>19</v>
      </c>
      <c r="AI79" s="10" t="s">
        <v>19</v>
      </c>
      <c r="AJ79" s="10" t="s">
        <v>19</v>
      </c>
      <c r="AK79" t="s">
        <v>63</v>
      </c>
      <c r="AR79" s="10" t="s">
        <v>19</v>
      </c>
    </row>
    <row r="80" spans="1:44" x14ac:dyDescent="0.2">
      <c r="B80" s="15" t="s">
        <v>64</v>
      </c>
      <c r="D80" s="7" t="s">
        <v>0</v>
      </c>
      <c r="E80">
        <v>10912</v>
      </c>
      <c r="G80">
        <v>6628</v>
      </c>
      <c r="H80" s="7" t="s">
        <v>0</v>
      </c>
      <c r="K80">
        <f t="shared" si="9"/>
        <v>6628</v>
      </c>
      <c r="M80" s="4">
        <f t="shared" si="10"/>
        <v>0.60740469208211145</v>
      </c>
      <c r="O80" s="5"/>
    </row>
    <row r="81" spans="2:44" x14ac:dyDescent="0.2">
      <c r="B81" s="15" t="s">
        <v>65</v>
      </c>
      <c r="E81">
        <v>5195</v>
      </c>
      <c r="F81" s="7" t="s">
        <v>0</v>
      </c>
      <c r="G81">
        <v>3134</v>
      </c>
      <c r="H81" s="7" t="s">
        <v>0</v>
      </c>
      <c r="K81">
        <f t="shared" si="9"/>
        <v>3134</v>
      </c>
      <c r="M81" s="4">
        <f t="shared" si="10"/>
        <v>0.60327237728585181</v>
      </c>
    </row>
    <row r="82" spans="2:44" x14ac:dyDescent="0.2">
      <c r="B82" s="15" t="s">
        <v>66</v>
      </c>
      <c r="E82">
        <v>268</v>
      </c>
      <c r="G82">
        <v>159</v>
      </c>
      <c r="K82">
        <f t="shared" si="9"/>
        <v>159</v>
      </c>
      <c r="M82" s="4">
        <f t="shared" si="10"/>
        <v>0.59328358208955223</v>
      </c>
      <c r="O82" s="5"/>
    </row>
    <row r="83" spans="2:44" x14ac:dyDescent="0.2">
      <c r="B83" s="15" t="s">
        <v>130</v>
      </c>
      <c r="E83">
        <v>7840</v>
      </c>
      <c r="G83">
        <v>8203</v>
      </c>
      <c r="K83">
        <f t="shared" si="9"/>
        <v>8203</v>
      </c>
      <c r="M83" s="4">
        <v>0</v>
      </c>
      <c r="O83" s="5"/>
    </row>
    <row r="84" spans="2:44" x14ac:dyDescent="0.2">
      <c r="B84" s="15" t="s">
        <v>131</v>
      </c>
      <c r="E84">
        <v>4297</v>
      </c>
      <c r="G84">
        <v>0</v>
      </c>
      <c r="K84">
        <f t="shared" si="9"/>
        <v>0</v>
      </c>
      <c r="M84" s="4">
        <v>0</v>
      </c>
      <c r="O84" s="5"/>
    </row>
    <row r="85" spans="2:44" x14ac:dyDescent="0.2">
      <c r="B85" s="15" t="s">
        <v>67</v>
      </c>
      <c r="E85">
        <v>900</v>
      </c>
      <c r="G85">
        <v>640</v>
      </c>
      <c r="K85">
        <f t="shared" si="9"/>
        <v>640</v>
      </c>
      <c r="M85" s="4">
        <f>SUM(K85/E85)</f>
        <v>0.71111111111111114</v>
      </c>
      <c r="O85" s="5"/>
    </row>
    <row r="86" spans="2:44" x14ac:dyDescent="0.2">
      <c r="B86" s="15" t="s">
        <v>125</v>
      </c>
      <c r="E86">
        <v>0</v>
      </c>
      <c r="G86">
        <v>1338</v>
      </c>
      <c r="K86">
        <f>SUM(G86+I86)</f>
        <v>1338</v>
      </c>
      <c r="M86" s="4">
        <v>0</v>
      </c>
      <c r="O86" s="5"/>
    </row>
    <row r="87" spans="2:44" x14ac:dyDescent="0.2">
      <c r="B87" s="15" t="s">
        <v>68</v>
      </c>
      <c r="E87">
        <v>7500</v>
      </c>
      <c r="G87">
        <v>2264</v>
      </c>
      <c r="I87" s="7" t="s">
        <v>0</v>
      </c>
      <c r="K87">
        <f t="shared" si="9"/>
        <v>2264</v>
      </c>
      <c r="M87" s="4">
        <f>SUM(K87/E87)</f>
        <v>0.30186666666666667</v>
      </c>
      <c r="O87" s="5">
        <f>(IF($O$7=11,S87/P87,IF($O$7=12,T87/P87,IF($O$7=1,Y87/P87,IF($O$7=2,Z87/P87,IF($O$7=3,AA87/P87,IF($O$7=4,AB87/P87,IF($O$7=5,AC87/P87,IF($O$7=6,P87/P87,0)))))))))*100</f>
        <v>0</v>
      </c>
      <c r="P87">
        <v>36</v>
      </c>
      <c r="Q87">
        <v>0</v>
      </c>
      <c r="R87">
        <v>0</v>
      </c>
      <c r="S87">
        <v>1636</v>
      </c>
      <c r="T87">
        <v>1636</v>
      </c>
      <c r="Y87">
        <v>1947</v>
      </c>
      <c r="Z87">
        <v>36</v>
      </c>
      <c r="AA87">
        <v>36</v>
      </c>
      <c r="AB87">
        <v>36</v>
      </c>
      <c r="AC87">
        <v>36</v>
      </c>
      <c r="AH87" t="s">
        <v>51</v>
      </c>
      <c r="AK87" t="e">
        <v>#VALUE!</v>
      </c>
      <c r="AM87" t="e">
        <v>#VALUE!</v>
      </c>
      <c r="AR87" t="s">
        <v>51</v>
      </c>
    </row>
    <row r="88" spans="2:44" x14ac:dyDescent="0.2">
      <c r="B88" s="15" t="s">
        <v>69</v>
      </c>
      <c r="E88">
        <v>1000</v>
      </c>
      <c r="G88">
        <v>573</v>
      </c>
      <c r="I88" s="7" t="s">
        <v>0</v>
      </c>
      <c r="K88">
        <f>SUM(G88+I88)</f>
        <v>573</v>
      </c>
      <c r="M88" s="4">
        <f>SUM(K88/E88)</f>
        <v>0.57299999999999995</v>
      </c>
      <c r="O88" s="5">
        <f>(IF($O$7=11,S88/P88,IF($O$7=12,T88/P88,IF($O$7=1,Y88/P88,IF($O$7=2,Z88/P88,IF($O$7=3,AA88/P88,IF($O$7=4,AB88/P88,IF($O$7=5,AC88/P88,IF($O$7=6,P88/P88,0)))))))))*100</f>
        <v>0</v>
      </c>
      <c r="P88">
        <v>942</v>
      </c>
      <c r="Q88">
        <v>421</v>
      </c>
      <c r="R88">
        <v>927</v>
      </c>
      <c r="S88">
        <v>1090</v>
      </c>
      <c r="T88">
        <v>1090</v>
      </c>
      <c r="Y88">
        <v>1090</v>
      </c>
      <c r="Z88">
        <v>937</v>
      </c>
      <c r="AA88">
        <v>934</v>
      </c>
      <c r="AB88">
        <v>942</v>
      </c>
      <c r="AC88">
        <v>942</v>
      </c>
      <c r="AK88" s="10" t="s">
        <v>25</v>
      </c>
      <c r="AM88" s="10" t="s">
        <v>25</v>
      </c>
    </row>
    <row r="89" spans="2:44" x14ac:dyDescent="0.2">
      <c r="B89" s="15" t="s">
        <v>88</v>
      </c>
      <c r="E89">
        <v>0</v>
      </c>
      <c r="G89">
        <v>0</v>
      </c>
      <c r="I89" s="7" t="s">
        <v>0</v>
      </c>
      <c r="K89">
        <f t="shared" si="9"/>
        <v>0</v>
      </c>
      <c r="M89" s="4">
        <v>0</v>
      </c>
      <c r="O89" s="5">
        <f>(IF($O$7=11,S89/P89,IF($O$7=12,T89/P89,IF($O$7=1,Y89/P89,IF($O$7=2,Z89/P89,IF($O$7=3,AA89/P89,IF($O$7=4,AB89/P89,IF($O$7=5,AC89/P89,IF($O$7=6,P89/P89,0)))))))))*100</f>
        <v>0</v>
      </c>
      <c r="P89">
        <v>942</v>
      </c>
      <c r="Q89">
        <v>421</v>
      </c>
      <c r="R89">
        <v>927</v>
      </c>
      <c r="S89">
        <v>1090</v>
      </c>
      <c r="T89">
        <v>1090</v>
      </c>
      <c r="Y89">
        <v>1090</v>
      </c>
      <c r="Z89">
        <v>937</v>
      </c>
      <c r="AA89">
        <v>934</v>
      </c>
      <c r="AB89">
        <v>942</v>
      </c>
      <c r="AC89">
        <v>942</v>
      </c>
      <c r="AK89" s="10" t="s">
        <v>25</v>
      </c>
      <c r="AM89" s="10" t="s">
        <v>25</v>
      </c>
    </row>
    <row r="90" spans="2:44" x14ac:dyDescent="0.2">
      <c r="B90" s="15"/>
      <c r="E90" s="11" t="s">
        <v>25</v>
      </c>
      <c r="G90" s="11" t="s">
        <v>25</v>
      </c>
      <c r="I90" s="11" t="s">
        <v>25</v>
      </c>
      <c r="K90" s="11" t="s">
        <v>25</v>
      </c>
      <c r="M90" s="11" t="s">
        <v>25</v>
      </c>
      <c r="O90" s="10" t="s">
        <v>25</v>
      </c>
      <c r="P90" s="11" t="s">
        <v>25</v>
      </c>
      <c r="Q90" s="11" t="s">
        <v>25</v>
      </c>
      <c r="R90" s="11" t="s">
        <v>25</v>
      </c>
      <c r="S90" s="11" t="s">
        <v>25</v>
      </c>
      <c r="T90" s="11" t="s">
        <v>25</v>
      </c>
      <c r="U90" s="39"/>
      <c r="V90" s="5"/>
      <c r="W90" s="5"/>
      <c r="X90" s="5"/>
      <c r="Y90" s="11" t="s">
        <v>25</v>
      </c>
      <c r="Z90" s="11" t="s">
        <v>25</v>
      </c>
      <c r="AA90" s="11" t="s">
        <v>25</v>
      </c>
      <c r="AB90" s="11" t="s">
        <v>25</v>
      </c>
      <c r="AC90" s="11" t="s">
        <v>25</v>
      </c>
    </row>
    <row r="91" spans="2:44" x14ac:dyDescent="0.2">
      <c r="B91" s="15" t="s">
        <v>70</v>
      </c>
      <c r="E91">
        <f>SUM(E73:E89)</f>
        <v>119822</v>
      </c>
      <c r="G91">
        <f>SUM(G73:G89)</f>
        <v>75658</v>
      </c>
      <c r="I91">
        <f>SUM(I73:I89)</f>
        <v>0</v>
      </c>
      <c r="K91">
        <f>SUM(K73:K89)</f>
        <v>75658</v>
      </c>
      <c r="M91" s="4">
        <f>SUM(K91/E91)</f>
        <v>0.63141993957703924</v>
      </c>
      <c r="O91" s="4">
        <f>IF($O$7=11,S91/P91,IF($O$7=12,T91/P91,IF($O$7=1,Y91/P91,IF($O$7=2,Z91/P91,IF($O$7=3,AA91/P91,IF($O$7=4,AB91/P91,IF($O$7=5,AC91/P91,IF($O$7=6,P91/P91,0))))))))</f>
        <v>0</v>
      </c>
      <c r="P91">
        <f>SUM(P73:P89)</f>
        <v>67511</v>
      </c>
      <c r="Q91">
        <f>SUM(Q73:Q89)</f>
        <v>30843</v>
      </c>
      <c r="R91">
        <f>SUM(R73:R89)</f>
        <v>39451</v>
      </c>
      <c r="S91">
        <f>SUM(S73:S89)</f>
        <v>44541</v>
      </c>
      <c r="T91">
        <f>SUM(T73:T89)</f>
        <v>46771</v>
      </c>
      <c r="Y91">
        <f>SUM(Y73:Y89)</f>
        <v>50694</v>
      </c>
      <c r="Z91">
        <f>SUM(Z73:Z89)</f>
        <v>54026</v>
      </c>
      <c r="AA91">
        <f>SUM(AA73:AA89)</f>
        <v>56959</v>
      </c>
      <c r="AB91">
        <f>SUM(AB73:AB89)</f>
        <v>61188</v>
      </c>
      <c r="AC91">
        <f>SUM(AC73:AC89)</f>
        <v>64280</v>
      </c>
    </row>
    <row r="92" spans="2:44" x14ac:dyDescent="0.2">
      <c r="B92" s="15"/>
      <c r="E92" s="11" t="s">
        <v>25</v>
      </c>
      <c r="G92" s="11" t="s">
        <v>25</v>
      </c>
      <c r="I92" s="11" t="s">
        <v>25</v>
      </c>
      <c r="K92" s="11" t="s">
        <v>25</v>
      </c>
      <c r="M92" s="11" t="s">
        <v>25</v>
      </c>
      <c r="P92" s="11" t="s">
        <v>25</v>
      </c>
      <c r="Q92" s="11" t="s">
        <v>25</v>
      </c>
      <c r="R92" s="12" t="s">
        <v>0</v>
      </c>
    </row>
    <row r="93" spans="2:44" x14ac:dyDescent="0.2">
      <c r="B93" s="15" t="s">
        <v>71</v>
      </c>
      <c r="D93" s="13" t="s">
        <v>0</v>
      </c>
      <c r="E93" s="5">
        <v>2168</v>
      </c>
      <c r="G93" s="5">
        <f>+E93/12*O5</f>
        <v>1445.3333333333333</v>
      </c>
      <c r="I93">
        <v>0</v>
      </c>
      <c r="K93">
        <f>SUM(G93+I93)</f>
        <v>1445.3333333333333</v>
      </c>
      <c r="M93" s="4">
        <f>SUM(K93/E93)</f>
        <v>0.66666666666666663</v>
      </c>
    </row>
    <row r="94" spans="2:44" x14ac:dyDescent="0.2">
      <c r="B94" s="15" t="s">
        <v>72</v>
      </c>
      <c r="E94" s="5">
        <v>3660</v>
      </c>
      <c r="G94" s="5">
        <f>+K91*0.03</f>
        <v>2269.7399999999998</v>
      </c>
      <c r="I94" s="5">
        <f>SUM(I91:I93)*0.02</f>
        <v>0</v>
      </c>
      <c r="K94">
        <f>SUM(G94+I94)</f>
        <v>2269.7399999999998</v>
      </c>
      <c r="M94" s="4">
        <f>SUM(K94/E94)</f>
        <v>0.62014754098360647</v>
      </c>
    </row>
    <row r="95" spans="2:44" x14ac:dyDescent="0.2">
      <c r="B95" s="15"/>
      <c r="E95" s="11" t="s">
        <v>25</v>
      </c>
      <c r="G95" s="11" t="s">
        <v>25</v>
      </c>
      <c r="I95" s="11" t="s">
        <v>25</v>
      </c>
      <c r="K95" s="11" t="s">
        <v>25</v>
      </c>
      <c r="M95" s="10" t="s">
        <v>25</v>
      </c>
      <c r="R95" s="7" t="s">
        <v>0</v>
      </c>
    </row>
    <row r="96" spans="2:44" x14ac:dyDescent="0.2">
      <c r="B96" s="15" t="s">
        <v>73</v>
      </c>
      <c r="E96" s="5">
        <f>SUM(E91:E94)</f>
        <v>125650</v>
      </c>
      <c r="G96" s="5">
        <f>SUM(G91:G94)</f>
        <v>79373.073333333334</v>
      </c>
      <c r="I96" s="5">
        <f>SUM(I91:I94)</f>
        <v>0</v>
      </c>
      <c r="K96">
        <f>SUM(G96+I96)</f>
        <v>79373.073333333334</v>
      </c>
      <c r="M96" s="4">
        <f>SUM(K96/E96)</f>
        <v>0.63169974797718531</v>
      </c>
    </row>
    <row r="97" spans="1:29" x14ac:dyDescent="0.2">
      <c r="B97" s="15"/>
      <c r="E97" s="11" t="s">
        <v>25</v>
      </c>
      <c r="G97" s="11" t="s">
        <v>25</v>
      </c>
      <c r="I97" s="11" t="s">
        <v>25</v>
      </c>
      <c r="K97" s="11" t="s">
        <v>25</v>
      </c>
      <c r="M97" s="10" t="s">
        <v>25</v>
      </c>
    </row>
    <row r="98" spans="1:29" x14ac:dyDescent="0.2">
      <c r="B98" s="15" t="s">
        <v>26</v>
      </c>
    </row>
    <row r="99" spans="1:29" x14ac:dyDescent="0.2">
      <c r="B99" s="15" t="s">
        <v>30</v>
      </c>
      <c r="E99">
        <f>SUM(E69-E96)</f>
        <v>200</v>
      </c>
      <c r="G99">
        <f>SUM(K69-G96)</f>
        <v>15928.926666666666</v>
      </c>
      <c r="I99" s="7" t="s">
        <v>0</v>
      </c>
      <c r="K99">
        <f>SUM(K69-K96)</f>
        <v>15928.926666666666</v>
      </c>
    </row>
    <row r="100" spans="1:29" x14ac:dyDescent="0.2">
      <c r="E100" s="10" t="s">
        <v>74</v>
      </c>
      <c r="G100" s="10" t="s">
        <v>74</v>
      </c>
      <c r="I100" s="7" t="s">
        <v>0</v>
      </c>
      <c r="K100" s="10" t="s">
        <v>74</v>
      </c>
    </row>
    <row r="101" spans="1:29" x14ac:dyDescent="0.2">
      <c r="E101" s="10"/>
      <c r="G101" s="10"/>
      <c r="I101" s="7"/>
      <c r="K101" s="10"/>
    </row>
    <row r="102" spans="1:29" x14ac:dyDescent="0.2">
      <c r="E102" s="10"/>
      <c r="G102" s="10"/>
      <c r="I102" s="7"/>
      <c r="K102" s="10"/>
    </row>
    <row r="104" spans="1:29" x14ac:dyDescent="0.2">
      <c r="A104" s="41" t="s">
        <v>104</v>
      </c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</row>
    <row r="106" spans="1:29" x14ac:dyDescent="0.2">
      <c r="M106" t="s">
        <v>3</v>
      </c>
    </row>
    <row r="107" spans="1:29" x14ac:dyDescent="0.2">
      <c r="A107" t="s">
        <v>18</v>
      </c>
      <c r="E107" s="9" t="s">
        <v>5</v>
      </c>
      <c r="G107" t="s">
        <v>0</v>
      </c>
      <c r="K107" t="s">
        <v>56</v>
      </c>
      <c r="M107" t="s">
        <v>7</v>
      </c>
    </row>
    <row r="108" spans="1:29" x14ac:dyDescent="0.2">
      <c r="A108" s="10" t="s">
        <v>19</v>
      </c>
      <c r="B108" t="s">
        <v>20</v>
      </c>
      <c r="E108" s="10" t="s">
        <v>19</v>
      </c>
      <c r="G108" t="s">
        <v>0</v>
      </c>
      <c r="K108" s="10" t="s">
        <v>19</v>
      </c>
      <c r="M108" s="10" t="s">
        <v>19</v>
      </c>
    </row>
    <row r="109" spans="1:29" x14ac:dyDescent="0.2">
      <c r="B109" t="s">
        <v>79</v>
      </c>
      <c r="E109">
        <v>953305</v>
      </c>
      <c r="K109">
        <v>623280</v>
      </c>
      <c r="M109" s="4">
        <f>SUM(K109/E109)</f>
        <v>0.6538096411956299</v>
      </c>
      <c r="O109" s="4">
        <f>IF($O$7=11,S109/P109,IF($O$7=12,T109/P109,IF($O$7=1,Y109/P109,IF($O$7=2,Z109/P109,IF($O$7=3,AA109/P109,IF($O$7=4,AB109/P109,IF($O$7=5,AC109/P109,IF($O$7=6,P109/P109,0))))))))</f>
        <v>0</v>
      </c>
      <c r="P109">
        <v>301799</v>
      </c>
      <c r="Q109">
        <v>63024</v>
      </c>
      <c r="R109">
        <v>100956</v>
      </c>
      <c r="S109">
        <v>108107</v>
      </c>
      <c r="T109">
        <v>118107</v>
      </c>
      <c r="Y109">
        <v>135716</v>
      </c>
      <c r="Z109">
        <v>190396</v>
      </c>
      <c r="AA109">
        <v>218935</v>
      </c>
      <c r="AB109">
        <v>238402</v>
      </c>
      <c r="AC109">
        <v>269188</v>
      </c>
    </row>
    <row r="110" spans="1:29" x14ac:dyDescent="0.2">
      <c r="E110" s="7" t="s">
        <v>0</v>
      </c>
    </row>
    <row r="111" spans="1:29" x14ac:dyDescent="0.2">
      <c r="M111" t="s">
        <v>3</v>
      </c>
    </row>
    <row r="112" spans="1:29" x14ac:dyDescent="0.2">
      <c r="A112" t="s">
        <v>53</v>
      </c>
      <c r="E112" s="9" t="s">
        <v>5</v>
      </c>
      <c r="G112" t="s">
        <v>54</v>
      </c>
      <c r="I112" t="s">
        <v>55</v>
      </c>
      <c r="K112" t="s">
        <v>56</v>
      </c>
      <c r="M112" t="s">
        <v>7</v>
      </c>
    </row>
    <row r="113" spans="1:29" x14ac:dyDescent="0.2">
      <c r="A113" s="10" t="s">
        <v>19</v>
      </c>
      <c r="B113" s="10" t="s">
        <v>19</v>
      </c>
      <c r="C113" t="s">
        <v>57</v>
      </c>
      <c r="E113" s="10" t="s">
        <v>19</v>
      </c>
      <c r="G113" s="10" t="s">
        <v>19</v>
      </c>
      <c r="I113" s="10" t="s">
        <v>19</v>
      </c>
      <c r="K113" s="10" t="s">
        <v>19</v>
      </c>
      <c r="M113" s="10" t="s">
        <v>19</v>
      </c>
    </row>
    <row r="114" spans="1:29" x14ac:dyDescent="0.2">
      <c r="B114" s="6" t="s">
        <v>80</v>
      </c>
      <c r="E114">
        <v>36912</v>
      </c>
      <c r="G114">
        <v>0</v>
      </c>
      <c r="K114">
        <f t="shared" ref="K114:K136" si="11">SUM(G114+I114)</f>
        <v>0</v>
      </c>
      <c r="M114" s="4">
        <f t="shared" ref="M114:M136" si="12">SUM(K114/E114)</f>
        <v>0</v>
      </c>
      <c r="O114" s="4">
        <f>IF($O$7=11,S114/P114,IF($O$7=12,T114/P114,IF($O$7=1,Y114/P114,IF($O$7=2,Z114/P114,IF($O$7=3,AA114/P114,IF($O$7=4,AB114/P114,IF($O$7=5,AC114/P114,IF($O$7=6,P114/P114,0))))))))</f>
        <v>0</v>
      </c>
      <c r="P114">
        <v>25000</v>
      </c>
      <c r="Q114">
        <v>25000</v>
      </c>
      <c r="R114">
        <v>25000</v>
      </c>
      <c r="S114">
        <v>25000</v>
      </c>
      <c r="T114">
        <v>25000</v>
      </c>
      <c r="Y114">
        <v>25000</v>
      </c>
      <c r="Z114">
        <v>25000</v>
      </c>
      <c r="AA114">
        <v>25000</v>
      </c>
      <c r="AB114">
        <v>25000</v>
      </c>
      <c r="AC114">
        <v>25000</v>
      </c>
    </row>
    <row r="115" spans="1:29" x14ac:dyDescent="0.2">
      <c r="B115" s="6" t="s">
        <v>58</v>
      </c>
      <c r="E115">
        <v>41779</v>
      </c>
      <c r="G115">
        <v>53192</v>
      </c>
      <c r="K115">
        <f>SUM(G115+I115)</f>
        <v>53192</v>
      </c>
      <c r="M115" s="4">
        <f>SUM(K115/E115)</f>
        <v>1.2731755188013116</v>
      </c>
      <c r="O115" s="4"/>
    </row>
    <row r="116" spans="1:29" x14ac:dyDescent="0.2">
      <c r="B116" s="6" t="s">
        <v>124</v>
      </c>
      <c r="E116">
        <v>7500</v>
      </c>
      <c r="G116">
        <v>4106</v>
      </c>
      <c r="K116">
        <f>SUM(G116+I116)</f>
        <v>4106</v>
      </c>
      <c r="M116" s="4">
        <v>0</v>
      </c>
      <c r="O116" s="4"/>
    </row>
    <row r="117" spans="1:29" x14ac:dyDescent="0.2">
      <c r="B117" s="6" t="s">
        <v>75</v>
      </c>
      <c r="E117">
        <v>26849</v>
      </c>
      <c r="G117">
        <f>18251+665</f>
        <v>18916</v>
      </c>
      <c r="K117">
        <f t="shared" si="11"/>
        <v>18916</v>
      </c>
      <c r="M117" s="4">
        <f t="shared" si="12"/>
        <v>0.7045327572721517</v>
      </c>
      <c r="O117" s="4"/>
    </row>
    <row r="118" spans="1:29" x14ac:dyDescent="0.2">
      <c r="B118" s="6" t="s">
        <v>81</v>
      </c>
      <c r="E118">
        <v>248209</v>
      </c>
      <c r="G118">
        <v>144026</v>
      </c>
      <c r="K118">
        <f t="shared" si="11"/>
        <v>144026</v>
      </c>
      <c r="M118" s="4">
        <f t="shared" si="12"/>
        <v>0.58026098973042883</v>
      </c>
      <c r="O118" s="5">
        <f>(IF($O$7=11,S118/P118,IF($O$7=12,T118/P118,IF($O$7=1,Y118/P118,IF($O$7=2,Z118/P118,IF($O$7=3,AA118/P118,IF($O$7=4,AB118/P118,IF($O$7=5,AC118/P118,IF($O$7=6,P118/P118,0)))))))))*100</f>
        <v>0</v>
      </c>
      <c r="P118">
        <v>174162</v>
      </c>
      <c r="Q118">
        <v>36970</v>
      </c>
      <c r="R118">
        <v>55757</v>
      </c>
      <c r="S118">
        <v>74654</v>
      </c>
      <c r="T118">
        <v>88925</v>
      </c>
      <c r="Y118">
        <v>105434</v>
      </c>
      <c r="Z118">
        <v>106941</v>
      </c>
      <c r="AA118">
        <v>121388</v>
      </c>
      <c r="AB118">
        <v>139103</v>
      </c>
      <c r="AC118">
        <v>153385</v>
      </c>
    </row>
    <row r="119" spans="1:29" x14ac:dyDescent="0.2">
      <c r="B119" s="6" t="s">
        <v>82</v>
      </c>
      <c r="E119">
        <v>163533</v>
      </c>
      <c r="G119">
        <v>101548</v>
      </c>
      <c r="K119">
        <f t="shared" si="11"/>
        <v>101548</v>
      </c>
      <c r="M119" s="4">
        <f t="shared" si="12"/>
        <v>0.62096335296239902</v>
      </c>
      <c r="O119" s="5"/>
    </row>
    <row r="120" spans="1:29" x14ac:dyDescent="0.2">
      <c r="B120" s="6" t="s">
        <v>60</v>
      </c>
      <c r="E120">
        <v>2000</v>
      </c>
      <c r="G120">
        <v>-2327</v>
      </c>
      <c r="K120">
        <f>SUM(G120+I120)</f>
        <v>-2327</v>
      </c>
      <c r="M120" s="4">
        <f>SUM(K120/E120)</f>
        <v>-1.1635</v>
      </c>
      <c r="O120" s="5"/>
    </row>
    <row r="121" spans="1:29" x14ac:dyDescent="0.2">
      <c r="B121" s="6" t="s">
        <v>83</v>
      </c>
      <c r="E121">
        <v>2205</v>
      </c>
      <c r="G121">
        <v>13490</v>
      </c>
      <c r="K121">
        <f t="shared" si="11"/>
        <v>13490</v>
      </c>
      <c r="M121" s="4">
        <f t="shared" si="12"/>
        <v>6.1179138321995463</v>
      </c>
      <c r="O121" s="5"/>
    </row>
    <row r="122" spans="1:29" x14ac:dyDescent="0.2">
      <c r="B122" s="6" t="s">
        <v>61</v>
      </c>
      <c r="E122">
        <v>-5353</v>
      </c>
      <c r="G122">
        <v>-1326</v>
      </c>
      <c r="K122">
        <f t="shared" si="11"/>
        <v>-1326</v>
      </c>
      <c r="M122" s="4">
        <v>1</v>
      </c>
      <c r="O122" s="5"/>
    </row>
    <row r="123" spans="1:29" x14ac:dyDescent="0.2">
      <c r="B123" s="6" t="s">
        <v>76</v>
      </c>
      <c r="E123">
        <v>161000</v>
      </c>
      <c r="G123">
        <v>81279</v>
      </c>
      <c r="K123">
        <f t="shared" si="11"/>
        <v>81279</v>
      </c>
      <c r="M123" s="4">
        <f t="shared" si="12"/>
        <v>0.50483850931677021</v>
      </c>
      <c r="O123" s="5">
        <f>(IF($O$7=11,S123/P123,IF($O$7=12,T123/P123,IF($O$7=1,Y123/P123,IF($O$7=2,Z123/P123,IF($O$7=3,AA123/P123,IF($O$7=4,AB123/P123,IF($O$7=5,AC123/P123,IF($O$7=6,P123/P123,0)))))))))*100</f>
        <v>0</v>
      </c>
      <c r="P123">
        <v>8899</v>
      </c>
      <c r="Q123">
        <v>0</v>
      </c>
      <c r="R123">
        <v>3033</v>
      </c>
      <c r="S123">
        <v>2316</v>
      </c>
      <c r="T123">
        <v>2316</v>
      </c>
      <c r="Y123">
        <v>3228</v>
      </c>
      <c r="Z123">
        <v>5948</v>
      </c>
      <c r="AA123">
        <v>6659</v>
      </c>
      <c r="AB123">
        <v>7400</v>
      </c>
      <c r="AC123">
        <v>8141</v>
      </c>
    </row>
    <row r="124" spans="1:29" x14ac:dyDescent="0.2">
      <c r="B124" s="6" t="s">
        <v>77</v>
      </c>
      <c r="D124" s="7" t="s">
        <v>0</v>
      </c>
      <c r="E124">
        <v>87456</v>
      </c>
      <c r="F124" s="7" t="s">
        <v>0</v>
      </c>
      <c r="G124" s="5">
        <v>49599</v>
      </c>
      <c r="I124" s="7" t="s">
        <v>0</v>
      </c>
      <c r="K124">
        <f t="shared" si="11"/>
        <v>49599</v>
      </c>
      <c r="M124" s="4">
        <f t="shared" si="12"/>
        <v>0.56713090010976952</v>
      </c>
      <c r="O124" s="5"/>
    </row>
    <row r="125" spans="1:29" x14ac:dyDescent="0.2">
      <c r="B125" s="6" t="s">
        <v>65</v>
      </c>
      <c r="E125">
        <v>39686</v>
      </c>
      <c r="F125" s="7" t="s">
        <v>0</v>
      </c>
      <c r="G125" s="5">
        <v>24419</v>
      </c>
      <c r="H125" s="7" t="s">
        <v>0</v>
      </c>
      <c r="K125">
        <f t="shared" si="11"/>
        <v>24419</v>
      </c>
      <c r="M125" s="4">
        <f t="shared" si="12"/>
        <v>0.61530514539132186</v>
      </c>
    </row>
    <row r="126" spans="1:29" x14ac:dyDescent="0.2">
      <c r="B126" s="6" t="s">
        <v>84</v>
      </c>
      <c r="E126">
        <v>5157</v>
      </c>
      <c r="G126" s="5">
        <v>1431</v>
      </c>
      <c r="K126">
        <f t="shared" si="11"/>
        <v>1431</v>
      </c>
      <c r="M126" s="4">
        <f t="shared" si="12"/>
        <v>0.27748691099476441</v>
      </c>
      <c r="O126" s="5"/>
    </row>
    <row r="127" spans="1:29" x14ac:dyDescent="0.2">
      <c r="B127" s="6" t="s">
        <v>85</v>
      </c>
      <c r="E127">
        <v>800</v>
      </c>
      <c r="G127" s="5">
        <v>1938</v>
      </c>
      <c r="K127">
        <f t="shared" si="11"/>
        <v>1938</v>
      </c>
      <c r="M127" s="4">
        <f t="shared" si="12"/>
        <v>2.4224999999999999</v>
      </c>
      <c r="O127" s="5"/>
    </row>
    <row r="128" spans="1:29" x14ac:dyDescent="0.2">
      <c r="B128" s="6" t="s">
        <v>67</v>
      </c>
      <c r="E128">
        <v>4000</v>
      </c>
      <c r="F128" t="s">
        <v>0</v>
      </c>
      <c r="G128" s="5">
        <v>1079</v>
      </c>
      <c r="K128">
        <f t="shared" si="11"/>
        <v>1079</v>
      </c>
      <c r="M128" s="4">
        <f t="shared" si="12"/>
        <v>0.26974999999999999</v>
      </c>
      <c r="O128" s="5"/>
    </row>
    <row r="129" spans="2:29" x14ac:dyDescent="0.2">
      <c r="B129" s="6" t="s">
        <v>125</v>
      </c>
      <c r="E129">
        <v>0</v>
      </c>
      <c r="G129" s="5">
        <v>398</v>
      </c>
      <c r="K129">
        <f t="shared" si="11"/>
        <v>398</v>
      </c>
      <c r="M129" s="4">
        <v>0</v>
      </c>
      <c r="O129" s="5"/>
    </row>
    <row r="130" spans="2:29" x14ac:dyDescent="0.2">
      <c r="B130" s="6" t="s">
        <v>68</v>
      </c>
      <c r="E130">
        <v>1000</v>
      </c>
      <c r="G130" s="5">
        <v>238</v>
      </c>
      <c r="K130">
        <f t="shared" si="11"/>
        <v>238</v>
      </c>
      <c r="M130" s="4">
        <f t="shared" si="12"/>
        <v>0.23799999999999999</v>
      </c>
      <c r="O130" s="5"/>
    </row>
    <row r="131" spans="2:29" x14ac:dyDescent="0.2">
      <c r="B131" s="6" t="s">
        <v>86</v>
      </c>
      <c r="E131">
        <v>3500</v>
      </c>
      <c r="G131" s="5">
        <v>1619</v>
      </c>
      <c r="K131">
        <f t="shared" si="11"/>
        <v>1619</v>
      </c>
      <c r="M131" s="4">
        <f t="shared" si="12"/>
        <v>0.46257142857142858</v>
      </c>
      <c r="O131" s="5"/>
    </row>
    <row r="132" spans="2:29" x14ac:dyDescent="0.2">
      <c r="B132" s="6" t="s">
        <v>132</v>
      </c>
      <c r="E132">
        <v>10000</v>
      </c>
      <c r="G132" s="5">
        <v>0</v>
      </c>
      <c r="K132">
        <f>SUM(G132+I132)</f>
        <v>0</v>
      </c>
      <c r="M132" s="4">
        <f>SUM(K132/E132)</f>
        <v>0</v>
      </c>
      <c r="O132" s="5"/>
    </row>
    <row r="133" spans="2:29" x14ac:dyDescent="0.2">
      <c r="B133" s="6" t="s">
        <v>69</v>
      </c>
      <c r="E133">
        <v>15500</v>
      </c>
      <c r="G133" s="5">
        <v>19041</v>
      </c>
      <c r="I133" t="s">
        <v>0</v>
      </c>
      <c r="K133">
        <f t="shared" si="11"/>
        <v>19041</v>
      </c>
      <c r="M133" s="4">
        <f t="shared" si="12"/>
        <v>1.2284516129032259</v>
      </c>
      <c r="O133" s="5">
        <f>(IF($O$7=11,S133/P133,IF($O$7=12,T133/P133,IF($O$7=1,Y133/P133,IF($O$7=2,Z133/P133,IF($O$7=3,AA133/P133,IF($O$7=4,AB133/P133,IF($O$7=5,AC133/P133,IF($O$7=6,P133/P133,0)))))))))*100</f>
        <v>0</v>
      </c>
      <c r="P133">
        <v>4552</v>
      </c>
      <c r="Q133">
        <v>601</v>
      </c>
      <c r="R133">
        <v>1873</v>
      </c>
      <c r="S133">
        <f>1808+590</f>
        <v>2398</v>
      </c>
      <c r="T133">
        <f>1808+590</f>
        <v>2398</v>
      </c>
      <c r="Y133">
        <v>2603</v>
      </c>
      <c r="Z133">
        <v>2319</v>
      </c>
      <c r="AA133">
        <v>3078</v>
      </c>
      <c r="AB133">
        <v>3452</v>
      </c>
      <c r="AC133">
        <v>4044</v>
      </c>
    </row>
    <row r="134" spans="2:29" x14ac:dyDescent="0.2">
      <c r="B134" s="6" t="s">
        <v>87</v>
      </c>
      <c r="E134">
        <v>12000</v>
      </c>
      <c r="G134" s="5">
        <v>15233</v>
      </c>
      <c r="I134" s="7" t="s">
        <v>0</v>
      </c>
      <c r="K134">
        <f t="shared" si="11"/>
        <v>15233</v>
      </c>
      <c r="M134" s="4">
        <f t="shared" si="12"/>
        <v>1.2694166666666666</v>
      </c>
      <c r="O134" s="5"/>
    </row>
    <row r="135" spans="2:29" x14ac:dyDescent="0.2">
      <c r="B135" s="6" t="s">
        <v>78</v>
      </c>
      <c r="E135">
        <v>10500</v>
      </c>
      <c r="G135" s="5">
        <v>9220</v>
      </c>
      <c r="I135" t="s">
        <v>0</v>
      </c>
      <c r="K135">
        <f t="shared" si="11"/>
        <v>9220</v>
      </c>
      <c r="M135" s="4">
        <f t="shared" si="12"/>
        <v>0.87809523809523804</v>
      </c>
      <c r="O135" s="5">
        <f>(IF($O$7=11,S135/P135,IF($O$7=12,T135/P135,IF($O$7=1,Y135/P135,IF($O$7=2,Z135/P135,IF($O$7=3,AA135/P135,IF($O$7=4,AB135/P135,IF($O$7=5,AC135/P135,IF($O$7=6,P135/P135,0)))))))))*100</f>
        <v>0</v>
      </c>
      <c r="P135">
        <v>2547</v>
      </c>
      <c r="Q135">
        <v>126</v>
      </c>
      <c r="R135">
        <v>0</v>
      </c>
      <c r="S135">
        <v>126</v>
      </c>
      <c r="T135">
        <v>126</v>
      </c>
      <c r="Y135">
        <v>126</v>
      </c>
      <c r="Z135">
        <v>809</v>
      </c>
      <c r="AA135">
        <v>961</v>
      </c>
      <c r="AB135">
        <v>2472</v>
      </c>
      <c r="AC135">
        <v>2458</v>
      </c>
    </row>
    <row r="136" spans="2:29" x14ac:dyDescent="0.2">
      <c r="B136" s="6" t="s">
        <v>88</v>
      </c>
      <c r="E136">
        <v>1000</v>
      </c>
      <c r="G136" s="5">
        <v>17206</v>
      </c>
      <c r="K136">
        <f t="shared" si="11"/>
        <v>17206</v>
      </c>
      <c r="M136" s="4">
        <f t="shared" si="12"/>
        <v>17.206</v>
      </c>
      <c r="O136" s="5">
        <f>(IF($O$7=11,S136/P136,IF($O$7=12,T136/P136,IF($O$7=1,Y136/P136,IF($O$7=2,Z136/P136,IF($O$7=3,AA136/P136,IF($O$7=4,AB136/P136,IF($O$7=5,AC136/P136,IF($O$7=6,P136/P136,0)))))))))*100</f>
        <v>0</v>
      </c>
      <c r="P136">
        <v>172</v>
      </c>
      <c r="Q136">
        <v>0</v>
      </c>
      <c r="R136">
        <v>0</v>
      </c>
      <c r="S136">
        <v>112</v>
      </c>
      <c r="T136">
        <v>112</v>
      </c>
      <c r="Y136">
        <v>112</v>
      </c>
      <c r="Z136">
        <v>145</v>
      </c>
      <c r="AA136">
        <v>172</v>
      </c>
      <c r="AB136">
        <v>172</v>
      </c>
      <c r="AC136">
        <v>172</v>
      </c>
    </row>
    <row r="137" spans="2:29" x14ac:dyDescent="0.2">
      <c r="B137" s="6"/>
      <c r="E137" s="11" t="s">
        <v>25</v>
      </c>
      <c r="G137" s="11" t="s">
        <v>25</v>
      </c>
      <c r="I137" s="11" t="s">
        <v>25</v>
      </c>
      <c r="K137" s="11" t="s">
        <v>25</v>
      </c>
      <c r="M137" s="11" t="s">
        <v>25</v>
      </c>
      <c r="O137" s="10" t="s">
        <v>25</v>
      </c>
      <c r="P137" s="11" t="s">
        <v>25</v>
      </c>
      <c r="Q137" s="11" t="s">
        <v>25</v>
      </c>
      <c r="R137" s="11" t="s">
        <v>25</v>
      </c>
      <c r="S137" s="11" t="s">
        <v>25</v>
      </c>
      <c r="T137" s="11" t="s">
        <v>25</v>
      </c>
      <c r="U137" s="39"/>
      <c r="V137" s="5"/>
      <c r="W137" s="5"/>
      <c r="X137" s="5"/>
      <c r="Y137" s="11" t="s">
        <v>25</v>
      </c>
      <c r="Z137" s="11" t="s">
        <v>25</v>
      </c>
      <c r="AA137" s="11" t="s">
        <v>25</v>
      </c>
      <c r="AB137" s="11" t="s">
        <v>25</v>
      </c>
      <c r="AC137" s="11" t="s">
        <v>25</v>
      </c>
    </row>
    <row r="138" spans="2:29" x14ac:dyDescent="0.2">
      <c r="B138" s="6" t="s">
        <v>89</v>
      </c>
      <c r="E138">
        <f>SUM(E110:E136)</f>
        <v>875233</v>
      </c>
      <c r="G138">
        <f>SUM(G110:G136)</f>
        <v>554325</v>
      </c>
      <c r="I138">
        <f>SUM(I110:I136)</f>
        <v>0</v>
      </c>
      <c r="K138">
        <f>SUM(K110:K136)</f>
        <v>554325</v>
      </c>
      <c r="M138" s="4">
        <f>SUM(K138/E138)</f>
        <v>0.6333456348195281</v>
      </c>
      <c r="O138" s="4">
        <f>IF($O$7=11,S138/P138,IF($O$7=12,T138/P138,IF($O$7=1,Y138/P138,IF($O$7=2,Z138/P138,IF($O$7=3,AA138/P138,IF($O$7=4,AB138/P138,IF($O$7=5,AC138/P138,IF($O$7=6,P138/P138,0))))))))</f>
        <v>0</v>
      </c>
      <c r="P138">
        <f>SUM(P110:P136)</f>
        <v>215332</v>
      </c>
      <c r="Q138">
        <f>SUM(Q110:Q136)</f>
        <v>62697</v>
      </c>
      <c r="R138">
        <f>SUM(R110:R136)</f>
        <v>85663</v>
      </c>
      <c r="S138">
        <f>SUM(S110:S136)</f>
        <v>104606</v>
      </c>
      <c r="T138">
        <f>SUM(T110:T136)</f>
        <v>118877</v>
      </c>
      <c r="Y138">
        <f>SUM(Y110:Y136)</f>
        <v>136503</v>
      </c>
      <c r="Z138">
        <f>SUM(Z110:Z136)</f>
        <v>141162</v>
      </c>
      <c r="AA138">
        <f>SUM(AA110:AA136)</f>
        <v>157258</v>
      </c>
      <c r="AB138">
        <f>SUM(AB110:AB136)</f>
        <v>177599</v>
      </c>
      <c r="AC138">
        <f>SUM(AC110:AC136)</f>
        <v>193200</v>
      </c>
    </row>
    <row r="139" spans="2:29" x14ac:dyDescent="0.2">
      <c r="B139" s="6"/>
      <c r="E139" s="11" t="s">
        <v>25</v>
      </c>
      <c r="G139" s="11" t="s">
        <v>25</v>
      </c>
      <c r="I139" s="11" t="s">
        <v>25</v>
      </c>
      <c r="K139" s="11" t="s">
        <v>25</v>
      </c>
      <c r="M139" s="11" t="s">
        <v>25</v>
      </c>
      <c r="O139" s="11" t="s">
        <v>25</v>
      </c>
      <c r="P139" s="11" t="s">
        <v>25</v>
      </c>
      <c r="Q139" s="11" t="s">
        <v>25</v>
      </c>
      <c r="R139" s="11" t="s">
        <v>25</v>
      </c>
      <c r="S139" s="11" t="s">
        <v>25</v>
      </c>
      <c r="T139" s="11" t="s">
        <v>25</v>
      </c>
      <c r="U139" s="39"/>
      <c r="V139" s="5"/>
      <c r="W139" s="5"/>
      <c r="X139" s="5"/>
      <c r="Y139" s="11" t="s">
        <v>25</v>
      </c>
      <c r="Z139" s="11" t="s">
        <v>25</v>
      </c>
      <c r="AA139" s="11" t="s">
        <v>25</v>
      </c>
      <c r="AB139" s="11" t="s">
        <v>25</v>
      </c>
      <c r="AC139" s="11" t="s">
        <v>25</v>
      </c>
    </row>
    <row r="140" spans="2:29" x14ac:dyDescent="0.2">
      <c r="B140" s="6" t="s">
        <v>71</v>
      </c>
      <c r="D140" s="13" t="s">
        <v>0</v>
      </c>
      <c r="E140" s="5">
        <v>8886</v>
      </c>
      <c r="G140" s="5">
        <f>+E140/12*$O$5</f>
        <v>5924</v>
      </c>
      <c r="K140">
        <f>SUM(G140+I140)</f>
        <v>5924</v>
      </c>
      <c r="M140" s="4">
        <f>SUM(K140/E140)</f>
        <v>0.66666666666666663</v>
      </c>
      <c r="P140">
        <f>SUM(K140+M140)</f>
        <v>5924.666666666667</v>
      </c>
      <c r="Q140">
        <v>220</v>
      </c>
    </row>
    <row r="141" spans="2:29" x14ac:dyDescent="0.2">
      <c r="B141" s="6" t="s">
        <v>101</v>
      </c>
      <c r="D141" s="13"/>
      <c r="E141" s="17">
        <f>0.68*75462*0.6</f>
        <v>30788.495999999999</v>
      </c>
      <c r="G141" s="5">
        <f>0.68*0.6*O4*O5/12</f>
        <v>13732.192000000001</v>
      </c>
      <c r="K141">
        <f>SUM(G141+I141)</f>
        <v>13732.192000000001</v>
      </c>
      <c r="M141" s="4">
        <f>SUM(K141/E141)</f>
        <v>0.44601697984857724</v>
      </c>
    </row>
    <row r="142" spans="2:29" x14ac:dyDescent="0.2">
      <c r="B142" s="6" t="s">
        <v>72</v>
      </c>
      <c r="E142" s="5">
        <v>27137</v>
      </c>
      <c r="G142" s="5">
        <f>K109*0.03</f>
        <v>18698.399999999998</v>
      </c>
      <c r="I142" s="5"/>
      <c r="K142" s="5">
        <f>+G142</f>
        <v>18698.399999999998</v>
      </c>
      <c r="M142" s="4">
        <f>SUM(K142/E142)</f>
        <v>0.68903710800751738</v>
      </c>
      <c r="P142" s="11" t="s">
        <v>25</v>
      </c>
      <c r="Q142" s="11" t="s">
        <v>25</v>
      </c>
    </row>
    <row r="143" spans="2:29" x14ac:dyDescent="0.2">
      <c r="B143" s="6"/>
      <c r="E143" s="11" t="s">
        <v>25</v>
      </c>
      <c r="G143" s="11" t="s">
        <v>25</v>
      </c>
      <c r="I143" s="11" t="s">
        <v>25</v>
      </c>
      <c r="K143" s="11" t="s">
        <v>25</v>
      </c>
      <c r="M143" s="10" t="s">
        <v>25</v>
      </c>
      <c r="P143" s="5"/>
      <c r="Q143" s="5"/>
    </row>
    <row r="144" spans="2:29" x14ac:dyDescent="0.2">
      <c r="B144" s="6" t="s">
        <v>73</v>
      </c>
      <c r="E144" s="5">
        <f>SUM(E138:E142)</f>
        <v>942044.49600000004</v>
      </c>
      <c r="G144" s="5">
        <f>SUM(G138:G142)</f>
        <v>592679.59200000006</v>
      </c>
      <c r="I144" s="5">
        <f>SUM(I138:I142)</f>
        <v>0</v>
      </c>
      <c r="K144" s="5">
        <f>SUM(K138:K142)</f>
        <v>592679.59200000006</v>
      </c>
      <c r="M144" s="4">
        <f>SUM(K144/E144)</f>
        <v>0.62914182346647884</v>
      </c>
      <c r="Q144" s="5"/>
    </row>
    <row r="145" spans="1:29" x14ac:dyDescent="0.2">
      <c r="E145" s="11" t="s">
        <v>25</v>
      </c>
      <c r="G145" s="11" t="s">
        <v>25</v>
      </c>
      <c r="I145" s="11" t="s">
        <v>25</v>
      </c>
      <c r="K145" s="11" t="s">
        <v>25</v>
      </c>
      <c r="M145" s="10" t="s">
        <v>25</v>
      </c>
      <c r="P145" s="5"/>
      <c r="Q145" s="5"/>
    </row>
    <row r="146" spans="1:29" x14ac:dyDescent="0.2">
      <c r="P146" t="e">
        <v>#VALUE!</v>
      </c>
      <c r="Q146" t="e">
        <v>#VALUE!</v>
      </c>
    </row>
    <row r="147" spans="1:29" x14ac:dyDescent="0.2">
      <c r="B147" s="7" t="s">
        <v>90</v>
      </c>
      <c r="E147">
        <f>E109-E144</f>
        <v>11260.503999999957</v>
      </c>
      <c r="G147">
        <f>K109-G144</f>
        <v>30600.407999999938</v>
      </c>
      <c r="K147">
        <f>K109-K144</f>
        <v>30600.407999999938</v>
      </c>
    </row>
    <row r="151" spans="1:29" x14ac:dyDescent="0.2">
      <c r="A151" s="41" t="s">
        <v>105</v>
      </c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</row>
    <row r="153" spans="1:29" x14ac:dyDescent="0.2">
      <c r="M153" t="s">
        <v>3</v>
      </c>
    </row>
    <row r="154" spans="1:29" x14ac:dyDescent="0.2">
      <c r="A154" t="s">
        <v>18</v>
      </c>
      <c r="E154" s="9" t="s">
        <v>5</v>
      </c>
      <c r="G154" t="s">
        <v>0</v>
      </c>
      <c r="K154" t="s">
        <v>56</v>
      </c>
      <c r="M154" t="s">
        <v>7</v>
      </c>
    </row>
    <row r="155" spans="1:29" x14ac:dyDescent="0.2">
      <c r="A155" s="10" t="s">
        <v>19</v>
      </c>
      <c r="B155" t="s">
        <v>20</v>
      </c>
      <c r="E155" s="10" t="s">
        <v>19</v>
      </c>
      <c r="G155" t="s">
        <v>0</v>
      </c>
      <c r="K155" s="10" t="s">
        <v>19</v>
      </c>
      <c r="M155" s="10" t="s">
        <v>19</v>
      </c>
    </row>
    <row r="156" spans="1:29" x14ac:dyDescent="0.2">
      <c r="B156" t="s">
        <v>79</v>
      </c>
      <c r="E156">
        <v>259910</v>
      </c>
      <c r="K156">
        <v>205236</v>
      </c>
      <c r="M156" s="4">
        <f>SUM(K156/E156)</f>
        <v>0.789642568581432</v>
      </c>
      <c r="O156" s="4">
        <f>IF($O$7=11,S156/P156,IF($O$7=12,T156/P156,IF($O$7=1,Y156/P156,IF($O$7=2,Z156/P156,IF($O$7=3,AA156/P156,IF($O$7=4,AB156/P156,IF($O$7=5,AC156/P156,IF($O$7=6,P156/P156,0))))))))</f>
        <v>0</v>
      </c>
      <c r="P156">
        <v>66861</v>
      </c>
      <c r="Q156">
        <v>28012</v>
      </c>
      <c r="R156">
        <v>31691</v>
      </c>
      <c r="S156">
        <v>38052</v>
      </c>
      <c r="T156">
        <v>50940</v>
      </c>
      <c r="Y156">
        <v>62649</v>
      </c>
      <c r="Z156">
        <v>65499</v>
      </c>
      <c r="AA156">
        <v>66499</v>
      </c>
      <c r="AB156">
        <v>66739</v>
      </c>
      <c r="AC156">
        <v>66864</v>
      </c>
    </row>
    <row r="158" spans="1:29" x14ac:dyDescent="0.2">
      <c r="M158" t="s">
        <v>3</v>
      </c>
    </row>
    <row r="159" spans="1:29" x14ac:dyDescent="0.2">
      <c r="A159" t="s">
        <v>53</v>
      </c>
      <c r="E159" s="9" t="s">
        <v>5</v>
      </c>
      <c r="G159" t="s">
        <v>54</v>
      </c>
      <c r="I159" t="s">
        <v>55</v>
      </c>
      <c r="K159" t="s">
        <v>56</v>
      </c>
      <c r="M159" t="s">
        <v>7</v>
      </c>
    </row>
    <row r="160" spans="1:29" x14ac:dyDescent="0.2">
      <c r="A160" s="10" t="s">
        <v>19</v>
      </c>
      <c r="B160" s="10" t="s">
        <v>19</v>
      </c>
      <c r="C160" t="s">
        <v>57</v>
      </c>
      <c r="D160" s="13" t="s">
        <v>0</v>
      </c>
      <c r="E160" s="10" t="s">
        <v>19</v>
      </c>
      <c r="G160" s="10" t="s">
        <v>19</v>
      </c>
      <c r="I160" s="10" t="s">
        <v>19</v>
      </c>
      <c r="K160" s="10" t="s">
        <v>19</v>
      </c>
      <c r="M160" s="10" t="s">
        <v>19</v>
      </c>
    </row>
    <row r="161" spans="2:29" x14ac:dyDescent="0.2">
      <c r="B161" s="6" t="s">
        <v>58</v>
      </c>
      <c r="E161">
        <v>16069</v>
      </c>
      <c r="G161">
        <v>7632</v>
      </c>
      <c r="I161">
        <v>0</v>
      </c>
      <c r="K161">
        <f t="shared" ref="K161:K180" si="13">SUM(G161+I161)</f>
        <v>7632</v>
      </c>
      <c r="M161" s="4">
        <f t="shared" ref="M161:M169" si="14">SUM(K161/E161)</f>
        <v>0.47495177048976289</v>
      </c>
      <c r="O161" s="4"/>
    </row>
    <row r="162" spans="2:29" x14ac:dyDescent="0.2">
      <c r="B162" s="6" t="s">
        <v>91</v>
      </c>
      <c r="D162" s="14" t="s">
        <v>0</v>
      </c>
      <c r="E162">
        <v>94099</v>
      </c>
      <c r="G162">
        <v>58795</v>
      </c>
      <c r="K162">
        <f t="shared" si="13"/>
        <v>58795</v>
      </c>
      <c r="M162" s="4">
        <f t="shared" si="14"/>
        <v>0.62482066759476718</v>
      </c>
      <c r="O162" s="4"/>
    </row>
    <row r="163" spans="2:29" x14ac:dyDescent="0.2">
      <c r="B163" s="6" t="s">
        <v>134</v>
      </c>
      <c r="D163" s="14"/>
      <c r="E163">
        <v>0</v>
      </c>
      <c r="G163">
        <v>384</v>
      </c>
      <c r="K163">
        <f>SUM(G163+I163)</f>
        <v>384</v>
      </c>
      <c r="M163" s="4">
        <v>1</v>
      </c>
      <c r="O163" s="4"/>
    </row>
    <row r="164" spans="2:29" x14ac:dyDescent="0.2">
      <c r="B164" s="6" t="s">
        <v>75</v>
      </c>
      <c r="E164">
        <v>5619</v>
      </c>
      <c r="G164">
        <v>3913</v>
      </c>
      <c r="K164">
        <f t="shared" si="13"/>
        <v>3913</v>
      </c>
      <c r="M164" s="4">
        <f t="shared" si="14"/>
        <v>0.69638725751913155</v>
      </c>
      <c r="O164" s="4"/>
    </row>
    <row r="165" spans="2:29" x14ac:dyDescent="0.2">
      <c r="B165" s="6" t="s">
        <v>92</v>
      </c>
      <c r="D165" s="7" t="s">
        <v>0</v>
      </c>
      <c r="E165">
        <v>48317</v>
      </c>
      <c r="G165">
        <v>29970</v>
      </c>
      <c r="K165">
        <f t="shared" si="13"/>
        <v>29970</v>
      </c>
      <c r="M165" s="4">
        <f t="shared" si="14"/>
        <v>0.62027857689840016</v>
      </c>
      <c r="O165" s="5">
        <f>(IF($O$7=11,S165/P165,IF($O$7=12,T165/P165,IF($O$7=1,Y165/P165,IF($O$7=2,Z165/P165,IF($O$7=3,AA165/P165,IF($O$7=4,AB165/P165,IF($O$7=5,AC165/P165,IF($O$7=6,P165/P165,0)))))))))*100</f>
        <v>0</v>
      </c>
      <c r="P165">
        <v>9890</v>
      </c>
      <c r="Q165">
        <v>380</v>
      </c>
      <c r="R165">
        <v>1311</v>
      </c>
      <c r="S165">
        <v>2884</v>
      </c>
      <c r="T165">
        <v>3529</v>
      </c>
      <c r="Y165">
        <v>4394</v>
      </c>
      <c r="Z165">
        <v>4888</v>
      </c>
      <c r="AA165">
        <v>6012</v>
      </c>
      <c r="AB165">
        <v>7526</v>
      </c>
      <c r="AC165">
        <v>8699</v>
      </c>
    </row>
    <row r="166" spans="2:29" x14ac:dyDescent="0.2">
      <c r="B166" s="6" t="s">
        <v>93</v>
      </c>
      <c r="E166">
        <v>1160</v>
      </c>
      <c r="G166">
        <v>240</v>
      </c>
      <c r="K166">
        <f t="shared" si="13"/>
        <v>240</v>
      </c>
      <c r="M166" s="4">
        <f t="shared" si="14"/>
        <v>0.20689655172413793</v>
      </c>
      <c r="O166" s="5"/>
    </row>
    <row r="167" spans="2:29" x14ac:dyDescent="0.2">
      <c r="B167" s="6" t="s">
        <v>61</v>
      </c>
      <c r="E167">
        <v>0</v>
      </c>
      <c r="G167">
        <v>0</v>
      </c>
      <c r="K167">
        <f>SUM(G167+I167)</f>
        <v>0</v>
      </c>
      <c r="M167" s="4">
        <v>1</v>
      </c>
      <c r="O167" s="5"/>
    </row>
    <row r="168" spans="2:29" x14ac:dyDescent="0.2">
      <c r="B168" s="6" t="s">
        <v>94</v>
      </c>
      <c r="E168">
        <v>4961</v>
      </c>
      <c r="G168">
        <v>1981</v>
      </c>
      <c r="K168">
        <f t="shared" si="13"/>
        <v>1981</v>
      </c>
      <c r="M168" s="4">
        <f t="shared" si="14"/>
        <v>0.39931465430356783</v>
      </c>
      <c r="O168" s="5">
        <f>(IF($O$7=11,S168/P168,IF($O$7=12,T168/P168,IF($O$7=1,Y168/P168,IF($O$7=2,Z168/P168,IF($O$7=3,AA168/P168,IF($O$7=4,AB168/P168,IF($O$7=5,AC168/P168,IF($O$7=6,P168/P168,0)))))))))*100</f>
        <v>0</v>
      </c>
      <c r="P168">
        <v>1070</v>
      </c>
      <c r="R168">
        <v>404</v>
      </c>
      <c r="Z168">
        <v>775</v>
      </c>
      <c r="AA168">
        <v>836</v>
      </c>
      <c r="AB168">
        <v>858</v>
      </c>
      <c r="AC168">
        <v>929</v>
      </c>
    </row>
    <row r="169" spans="2:29" x14ac:dyDescent="0.2">
      <c r="B169" s="6" t="s">
        <v>95</v>
      </c>
      <c r="E169">
        <v>1000</v>
      </c>
      <c r="G169" s="5">
        <v>475</v>
      </c>
      <c r="K169">
        <f t="shared" si="13"/>
        <v>475</v>
      </c>
      <c r="M169" s="4">
        <f t="shared" si="14"/>
        <v>0.47499999999999998</v>
      </c>
      <c r="O169" s="5"/>
    </row>
    <row r="170" spans="2:29" x14ac:dyDescent="0.2">
      <c r="B170" s="6" t="s">
        <v>77</v>
      </c>
      <c r="D170" s="7" t="s">
        <v>0</v>
      </c>
      <c r="E170">
        <v>28354</v>
      </c>
      <c r="G170" s="5">
        <v>16511</v>
      </c>
      <c r="I170" s="7" t="s">
        <v>0</v>
      </c>
      <c r="K170">
        <f t="shared" si="13"/>
        <v>16511</v>
      </c>
      <c r="M170" s="4">
        <f>SUM(K170/E171)</f>
        <v>1.2765579093861141</v>
      </c>
      <c r="O170" s="5"/>
    </row>
    <row r="171" spans="2:29" x14ac:dyDescent="0.2">
      <c r="B171" s="6" t="s">
        <v>65</v>
      </c>
      <c r="E171">
        <v>12934</v>
      </c>
      <c r="G171" s="5">
        <v>7874</v>
      </c>
      <c r="H171" s="7" t="s">
        <v>0</v>
      </c>
      <c r="K171">
        <f t="shared" si="13"/>
        <v>7874</v>
      </c>
      <c r="M171" s="4">
        <f t="shared" ref="M171:M180" si="15">SUM(K171/E171)</f>
        <v>0.60878305241997832</v>
      </c>
    </row>
    <row r="172" spans="2:29" x14ac:dyDescent="0.2">
      <c r="B172" s="6" t="s">
        <v>66</v>
      </c>
      <c r="E172">
        <v>1093</v>
      </c>
      <c r="G172">
        <v>318</v>
      </c>
      <c r="K172">
        <f t="shared" si="13"/>
        <v>318</v>
      </c>
      <c r="M172" s="4">
        <f t="shared" si="15"/>
        <v>0.29094236047575478</v>
      </c>
      <c r="O172" s="5"/>
    </row>
    <row r="173" spans="2:29" x14ac:dyDescent="0.2">
      <c r="B173" s="6" t="s">
        <v>96</v>
      </c>
      <c r="E173">
        <v>550</v>
      </c>
      <c r="G173">
        <v>587</v>
      </c>
      <c r="K173">
        <f t="shared" si="13"/>
        <v>587</v>
      </c>
      <c r="M173" s="4">
        <f t="shared" si="15"/>
        <v>1.0672727272727274</v>
      </c>
      <c r="O173" s="5"/>
    </row>
    <row r="174" spans="2:29" x14ac:dyDescent="0.2">
      <c r="B174" s="6" t="s">
        <v>67</v>
      </c>
      <c r="E174">
        <v>600</v>
      </c>
      <c r="G174">
        <v>42</v>
      </c>
      <c r="K174">
        <f t="shared" si="13"/>
        <v>42</v>
      </c>
      <c r="M174" s="4">
        <f t="shared" si="15"/>
        <v>7.0000000000000007E-2</v>
      </c>
      <c r="O174" s="5"/>
    </row>
    <row r="175" spans="2:29" x14ac:dyDescent="0.2">
      <c r="B175" s="6" t="s">
        <v>68</v>
      </c>
      <c r="E175">
        <v>700</v>
      </c>
      <c r="G175">
        <v>0</v>
      </c>
      <c r="K175">
        <f t="shared" si="13"/>
        <v>0</v>
      </c>
      <c r="M175" s="4">
        <f t="shared" si="15"/>
        <v>0</v>
      </c>
    </row>
    <row r="176" spans="2:29" x14ac:dyDescent="0.2">
      <c r="B176" s="6" t="s">
        <v>86</v>
      </c>
      <c r="E176">
        <v>1250</v>
      </c>
      <c r="G176">
        <v>655</v>
      </c>
      <c r="K176">
        <f t="shared" si="13"/>
        <v>655</v>
      </c>
      <c r="M176" s="4">
        <f t="shared" si="15"/>
        <v>0.52400000000000002</v>
      </c>
    </row>
    <row r="177" spans="2:29" x14ac:dyDescent="0.2">
      <c r="B177" s="6" t="s">
        <v>126</v>
      </c>
      <c r="E177">
        <v>0</v>
      </c>
      <c r="G177" s="5">
        <v>0</v>
      </c>
      <c r="K177">
        <f>SUM(G177+I177)</f>
        <v>0</v>
      </c>
      <c r="M177" s="4">
        <v>0</v>
      </c>
    </row>
    <row r="178" spans="2:29" x14ac:dyDescent="0.2">
      <c r="B178" s="6" t="s">
        <v>69</v>
      </c>
      <c r="E178">
        <v>8225</v>
      </c>
      <c r="G178">
        <v>7058</v>
      </c>
      <c r="I178" t="s">
        <v>0</v>
      </c>
      <c r="K178">
        <f t="shared" si="13"/>
        <v>7058</v>
      </c>
      <c r="M178" s="4">
        <f t="shared" si="15"/>
        <v>0.8581155015197568</v>
      </c>
      <c r="O178" s="5">
        <f>(IF($O$7=11,S178/P178,IF($O$7=12,T178/P178,IF($O$7=1,Y178/P178,IF($O$7=2,Z178/P178,IF($O$7=3,AA178/P178,IF($O$7=4,AB178/P178,IF($O$7=5,AC178/P178,IF($O$7=6,P178/P178,0)))))))))*100</f>
        <v>0</v>
      </c>
      <c r="P178">
        <v>3788</v>
      </c>
      <c r="Q178">
        <v>385</v>
      </c>
      <c r="R178">
        <v>2016</v>
      </c>
      <c r="S178">
        <v>1201</v>
      </c>
      <c r="T178">
        <f>1343+13</f>
        <v>1356</v>
      </c>
      <c r="Y178">
        <f>1496+26</f>
        <v>1522</v>
      </c>
      <c r="Z178">
        <v>2334</v>
      </c>
      <c r="AA178">
        <v>3144</v>
      </c>
      <c r="AB178">
        <v>3268</v>
      </c>
      <c r="AC178">
        <v>3376</v>
      </c>
    </row>
    <row r="179" spans="2:29" x14ac:dyDescent="0.2">
      <c r="B179" s="6" t="s">
        <v>78</v>
      </c>
      <c r="E179">
        <v>1250</v>
      </c>
      <c r="G179">
        <v>1508</v>
      </c>
      <c r="I179" s="7" t="s">
        <v>0</v>
      </c>
      <c r="K179">
        <f t="shared" si="13"/>
        <v>1508</v>
      </c>
      <c r="M179" s="4">
        <f t="shared" si="15"/>
        <v>1.2063999999999999</v>
      </c>
      <c r="O179" s="5"/>
    </row>
    <row r="180" spans="2:29" x14ac:dyDescent="0.2">
      <c r="B180" s="6" t="s">
        <v>97</v>
      </c>
      <c r="E180">
        <v>400</v>
      </c>
      <c r="F180" t="s">
        <v>0</v>
      </c>
      <c r="G180">
        <v>0</v>
      </c>
      <c r="K180">
        <f t="shared" si="13"/>
        <v>0</v>
      </c>
      <c r="M180" s="4">
        <f t="shared" si="15"/>
        <v>0</v>
      </c>
      <c r="O180" s="5">
        <f>(IF($O$7=11,S180/P180,IF($O$7=12,T180/P180,IF($O$7=1,Y180/P180,IF($O$7=2,Z180/P180,IF($O$7=3,AA180/P180,IF($O$7=4,AB180/P180,IF($O$7=5,AC180/P180,IF($O$7=6,P180/P180,0)))))))))*100</f>
        <v>0</v>
      </c>
      <c r="P180">
        <v>65</v>
      </c>
      <c r="R180">
        <v>45</v>
      </c>
      <c r="S180">
        <v>20</v>
      </c>
      <c r="T180">
        <v>20</v>
      </c>
      <c r="Y180">
        <v>20</v>
      </c>
      <c r="Z180">
        <v>65</v>
      </c>
      <c r="AA180">
        <v>65</v>
      </c>
      <c r="AB180">
        <v>65</v>
      </c>
      <c r="AC180">
        <v>65</v>
      </c>
    </row>
    <row r="181" spans="2:29" x14ac:dyDescent="0.2">
      <c r="B181" s="6"/>
      <c r="E181" s="11" t="s">
        <v>25</v>
      </c>
      <c r="G181" s="11" t="s">
        <v>25</v>
      </c>
      <c r="I181" s="11" t="s">
        <v>25</v>
      </c>
      <c r="K181" s="11" t="s">
        <v>25</v>
      </c>
      <c r="M181" s="11" t="s">
        <v>25</v>
      </c>
      <c r="O181" s="11" t="s">
        <v>25</v>
      </c>
      <c r="P181" s="11" t="s">
        <v>25</v>
      </c>
      <c r="Q181" s="11" t="s">
        <v>25</v>
      </c>
      <c r="R181" s="11" t="s">
        <v>25</v>
      </c>
      <c r="S181" s="11" t="s">
        <v>25</v>
      </c>
      <c r="T181" s="11" t="s">
        <v>25</v>
      </c>
      <c r="U181" s="39"/>
      <c r="V181" s="5"/>
      <c r="W181" s="5"/>
      <c r="X181" s="5"/>
      <c r="Y181" s="11" t="s">
        <v>25</v>
      </c>
      <c r="Z181" s="11" t="s">
        <v>25</v>
      </c>
      <c r="AA181" s="11" t="s">
        <v>25</v>
      </c>
      <c r="AB181" s="11" t="s">
        <v>25</v>
      </c>
      <c r="AC181" s="11" t="s">
        <v>25</v>
      </c>
    </row>
    <row r="182" spans="2:29" x14ac:dyDescent="0.2">
      <c r="B182" s="6" t="s">
        <v>70</v>
      </c>
      <c r="E182">
        <f>SUM(E161:E180)</f>
        <v>226581</v>
      </c>
      <c r="G182">
        <f>SUM(G161:G180)</f>
        <v>137943</v>
      </c>
      <c r="I182">
        <f>SUM(I161:I180)</f>
        <v>0</v>
      </c>
      <c r="K182">
        <f>SUM(K161:K180)</f>
        <v>137943</v>
      </c>
      <c r="M182" s="4">
        <f>SUM(K182/E182)</f>
        <v>0.60880215022442308</v>
      </c>
      <c r="O182" s="4">
        <f>IF($O$7=11,S182/P182,IF($O$7=12,T182/P182,IF($O$7=1,Y182/P182,IF($O$7=2,Z182/P182,IF($O$7=3,AA182/P182,IF($O$7=4,AB182/P182,IF($O$7=5,AC182/P182,IF($O$7=6,P182/P182,0))))))))</f>
        <v>0</v>
      </c>
      <c r="P182">
        <f>SUM(P161:P180)</f>
        <v>14813</v>
      </c>
      <c r="Q182">
        <f>SUM(Q161:Q180)</f>
        <v>765</v>
      </c>
      <c r="R182">
        <f>SUM(R161:R180)</f>
        <v>3776</v>
      </c>
      <c r="S182">
        <f>SUM(S161:S180)</f>
        <v>4105</v>
      </c>
      <c r="T182">
        <f>SUM(T161:T180)</f>
        <v>4905</v>
      </c>
      <c r="Y182">
        <f>SUM(Y161:Y180)</f>
        <v>5936</v>
      </c>
      <c r="Z182">
        <f>SUM(Z161:Z180)</f>
        <v>8062</v>
      </c>
      <c r="AA182">
        <f>SUM(AA161:AA180)</f>
        <v>10057</v>
      </c>
      <c r="AB182">
        <f>SUM(AB161:AB180)</f>
        <v>11717</v>
      </c>
      <c r="AC182">
        <f>SUM(AC161:AC180)</f>
        <v>13069</v>
      </c>
    </row>
    <row r="183" spans="2:29" x14ac:dyDescent="0.2">
      <c r="B183" s="6"/>
      <c r="E183" s="11" t="s">
        <v>25</v>
      </c>
      <c r="G183" s="11" t="s">
        <v>25</v>
      </c>
      <c r="I183" s="11" t="s">
        <v>25</v>
      </c>
      <c r="K183" s="11" t="s">
        <v>25</v>
      </c>
      <c r="M183" s="11" t="s">
        <v>25</v>
      </c>
      <c r="O183" s="11" t="s">
        <v>25</v>
      </c>
      <c r="P183" s="11" t="s">
        <v>25</v>
      </c>
      <c r="Q183" s="11" t="s">
        <v>25</v>
      </c>
      <c r="R183" s="11" t="s">
        <v>25</v>
      </c>
      <c r="S183" s="11" t="s">
        <v>25</v>
      </c>
      <c r="T183" s="11" t="s">
        <v>25</v>
      </c>
      <c r="U183" s="39"/>
      <c r="V183" s="5"/>
      <c r="W183" s="5"/>
      <c r="X183" s="5"/>
      <c r="Y183" s="11" t="s">
        <v>25</v>
      </c>
      <c r="Z183" s="11" t="s">
        <v>25</v>
      </c>
      <c r="AA183" s="11" t="s">
        <v>25</v>
      </c>
      <c r="AB183" s="11" t="s">
        <v>25</v>
      </c>
      <c r="AC183" s="11" t="s">
        <v>25</v>
      </c>
    </row>
    <row r="184" spans="2:29" x14ac:dyDescent="0.2">
      <c r="B184" s="6" t="s">
        <v>98</v>
      </c>
      <c r="D184" s="2"/>
      <c r="E184" s="5">
        <v>361</v>
      </c>
      <c r="G184" s="5">
        <f>+E184/12*$O$5</f>
        <v>240.66666666666666</v>
      </c>
      <c r="I184" t="s">
        <v>0</v>
      </c>
      <c r="K184">
        <f>SUM(G184+I184)</f>
        <v>240.66666666666666</v>
      </c>
      <c r="M184" s="4">
        <f>SUM(K184/E184)</f>
        <v>0.66666666666666663</v>
      </c>
      <c r="P184">
        <f>SUM(K184+M184)</f>
        <v>241.33333333333331</v>
      </c>
      <c r="Q184">
        <v>15</v>
      </c>
    </row>
    <row r="185" spans="2:29" x14ac:dyDescent="0.2">
      <c r="B185" s="6" t="s">
        <v>101</v>
      </c>
      <c r="D185" s="2"/>
      <c r="E185" s="17">
        <f>0.68*75462*0.4</f>
        <v>20525.664000000004</v>
      </c>
      <c r="G185" s="5">
        <f>0.68*0.4*O4*O5/12</f>
        <v>9154.7946666666667</v>
      </c>
      <c r="I185" t="s">
        <v>0</v>
      </c>
      <c r="K185">
        <f>SUM(G185+I185)</f>
        <v>9154.7946666666667</v>
      </c>
      <c r="M185" s="4">
        <f>SUM(K185/E185)</f>
        <v>0.44601697984857713</v>
      </c>
    </row>
    <row r="186" spans="2:29" x14ac:dyDescent="0.2">
      <c r="B186" s="6" t="s">
        <v>72</v>
      </c>
      <c r="E186" s="5">
        <v>6808</v>
      </c>
      <c r="G186" s="5">
        <f>+K156*0.03</f>
        <v>6157.08</v>
      </c>
      <c r="I186" s="5">
        <f>SUM(I182:I184)*0.02</f>
        <v>0</v>
      </c>
      <c r="K186" s="5">
        <f>+G186</f>
        <v>6157.08</v>
      </c>
      <c r="M186" s="4">
        <f>SUM(K186/E186)</f>
        <v>0.90438895417156284</v>
      </c>
      <c r="P186" s="11" t="s">
        <v>25</v>
      </c>
      <c r="Q186" s="11" t="s">
        <v>25</v>
      </c>
    </row>
    <row r="187" spans="2:29" x14ac:dyDescent="0.2">
      <c r="B187" s="6"/>
      <c r="E187" s="11" t="s">
        <v>25</v>
      </c>
      <c r="G187" s="11" t="s">
        <v>25</v>
      </c>
      <c r="I187" s="11" t="s">
        <v>25</v>
      </c>
      <c r="K187" s="11" t="s">
        <v>25</v>
      </c>
      <c r="M187" s="10" t="s">
        <v>25</v>
      </c>
    </row>
    <row r="188" spans="2:29" x14ac:dyDescent="0.2">
      <c r="B188" s="6" t="s">
        <v>73</v>
      </c>
      <c r="E188" s="5">
        <f>SUM(E182:E186)</f>
        <v>254275.66399999999</v>
      </c>
      <c r="G188" s="5">
        <f>SUM(G182:G186)</f>
        <v>153495.5413333333</v>
      </c>
      <c r="I188" s="5">
        <f>SUM(I182:I186)</f>
        <v>0</v>
      </c>
      <c r="K188" s="5">
        <f>SUM(K182:K186)</f>
        <v>153495.5413333333</v>
      </c>
      <c r="M188" s="4">
        <f>SUM(K188/E188)</f>
        <v>0.60365801004587405</v>
      </c>
    </row>
    <row r="189" spans="2:29" x14ac:dyDescent="0.2">
      <c r="B189" s="6"/>
      <c r="E189" s="11" t="s">
        <v>25</v>
      </c>
      <c r="G189" s="11" t="s">
        <v>25</v>
      </c>
      <c r="I189" s="11" t="s">
        <v>25</v>
      </c>
      <c r="K189" s="11" t="s">
        <v>25</v>
      </c>
      <c r="M189" s="10" t="s">
        <v>25</v>
      </c>
    </row>
    <row r="190" spans="2:29" x14ac:dyDescent="0.2">
      <c r="B190" s="6" t="s">
        <v>99</v>
      </c>
      <c r="E190" s="5"/>
      <c r="G190" s="5"/>
      <c r="I190" s="5"/>
      <c r="K190" s="5"/>
      <c r="M190" s="7" t="s">
        <v>0</v>
      </c>
    </row>
    <row r="191" spans="2:29" x14ac:dyDescent="0.2">
      <c r="B191" s="6" t="s">
        <v>30</v>
      </c>
      <c r="E191">
        <f>SUM(E156-E188)</f>
        <v>5634.3360000000102</v>
      </c>
      <c r="G191">
        <f>SUM(K156-G188)</f>
        <v>51740.458666666702</v>
      </c>
      <c r="I191" s="7" t="s">
        <v>0</v>
      </c>
      <c r="K191">
        <f>SUM(K156-K188)</f>
        <v>51740.458666666702</v>
      </c>
      <c r="P191" t="e">
        <v>#VALUE!</v>
      </c>
      <c r="Q191" t="e">
        <v>#VALUE!</v>
      </c>
    </row>
    <row r="192" spans="2:29" x14ac:dyDescent="0.2">
      <c r="E192" s="10" t="s">
        <v>74</v>
      </c>
      <c r="G192" s="10" t="s">
        <v>74</v>
      </c>
      <c r="I192" s="7" t="s">
        <v>0</v>
      </c>
      <c r="K192" s="10" t="s">
        <v>74</v>
      </c>
    </row>
  </sheetData>
  <mergeCells count="3">
    <mergeCell ref="A55:M55"/>
    <mergeCell ref="A104:M104"/>
    <mergeCell ref="A151:M151"/>
  </mergeCells>
  <phoneticPr fontId="0" type="noConversion"/>
  <pageMargins left="0.75" right="0.5" top="0.5" bottom="0.5" header="0.5" footer="0.5"/>
  <pageSetup scale="85" fitToHeight="5" orientation="portrait" copies="15" r:id="rId1"/>
  <headerFooter alignWithMargins="0"/>
  <rowBreaks count="3" manualBreakCount="3">
    <brk id="54" max="12" man="1"/>
    <brk id="101" max="12" man="1"/>
    <brk id="148" max="12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Q51"/>
  <sheetViews>
    <sheetView defaultGridColor="0" colorId="22" zoomScale="57" zoomScaleNormal="57" workbookViewId="0">
      <selection activeCell="A3" sqref="A3"/>
    </sheetView>
  </sheetViews>
  <sheetFormatPr defaultColWidth="9.77734375" defaultRowHeight="15" x14ac:dyDescent="0.2"/>
  <cols>
    <col min="1" max="1" width="1.77734375" style="22" customWidth="1"/>
    <col min="2" max="2" width="3.5546875" style="22" customWidth="1"/>
    <col min="3" max="3" width="18.88671875" style="22" customWidth="1"/>
    <col min="4" max="4" width="10.77734375" style="22" customWidth="1"/>
    <col min="5" max="5" width="9.77734375" style="22"/>
    <col min="6" max="7" width="2.77734375" style="22" customWidth="1"/>
    <col min="8" max="8" width="9.77734375" style="22"/>
    <col min="9" max="9" width="2.77734375" style="22" customWidth="1"/>
    <col min="10" max="10" width="9.77734375" style="22"/>
    <col min="11" max="11" width="2.77734375" style="22" customWidth="1"/>
    <col min="12" max="12" width="7.77734375" style="22" customWidth="1"/>
    <col min="13" max="13" width="7.21875" style="22" customWidth="1"/>
    <col min="14" max="14" width="10.21875" style="22" hidden="1" customWidth="1"/>
    <col min="15" max="16" width="9.77734375" style="22"/>
    <col min="17" max="17" width="10" style="22" bestFit="1" customWidth="1"/>
    <col min="18" max="16384" width="9.77734375" style="22"/>
  </cols>
  <sheetData>
    <row r="1" spans="1:14" x14ac:dyDescent="0.2">
      <c r="A1" s="41" t="s">
        <v>103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4" x14ac:dyDescent="0.2">
      <c r="A2" s="41" t="s">
        <v>133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4" x14ac:dyDescent="0.2">
      <c r="A3"/>
      <c r="B3"/>
      <c r="C3"/>
      <c r="D3"/>
      <c r="E3"/>
      <c r="F3"/>
      <c r="G3"/>
      <c r="H3"/>
      <c r="I3"/>
      <c r="J3"/>
      <c r="K3"/>
      <c r="L3"/>
      <c r="N3" s="30" t="s">
        <v>122</v>
      </c>
    </row>
    <row r="4" spans="1:14" x14ac:dyDescent="0.2">
      <c r="A4"/>
      <c r="B4"/>
      <c r="C4"/>
      <c r="D4"/>
      <c r="E4"/>
      <c r="F4"/>
      <c r="G4"/>
      <c r="H4"/>
      <c r="I4"/>
      <c r="J4"/>
      <c r="K4"/>
      <c r="L4" t="s">
        <v>3</v>
      </c>
      <c r="N4" s="31" t="s">
        <v>127</v>
      </c>
    </row>
    <row r="5" spans="1:14" x14ac:dyDescent="0.2">
      <c r="A5" s="24" t="s">
        <v>18</v>
      </c>
      <c r="B5" s="24"/>
      <c r="C5" s="24"/>
      <c r="D5"/>
      <c r="E5" s="25" t="s">
        <v>5</v>
      </c>
      <c r="F5"/>
      <c r="G5"/>
      <c r="H5" s="24" t="s">
        <v>116</v>
      </c>
      <c r="I5"/>
      <c r="J5" s="24" t="s">
        <v>6</v>
      </c>
      <c r="K5"/>
      <c r="L5" s="24" t="s">
        <v>7</v>
      </c>
      <c r="N5" s="32" t="s">
        <v>123</v>
      </c>
    </row>
    <row r="6" spans="1:14" x14ac:dyDescent="0.2">
      <c r="A6" s="10"/>
      <c r="B6"/>
      <c r="C6"/>
      <c r="D6"/>
      <c r="E6" s="10"/>
      <c r="F6"/>
      <c r="G6"/>
      <c r="H6"/>
      <c r="I6"/>
      <c r="J6" s="10"/>
      <c r="K6"/>
      <c r="L6" s="10"/>
    </row>
    <row r="7" spans="1:14" x14ac:dyDescent="0.2">
      <c r="A7"/>
      <c r="B7" t="s">
        <v>114</v>
      </c>
      <c r="C7"/>
      <c r="D7"/>
      <c r="E7"/>
      <c r="F7"/>
      <c r="G7"/>
      <c r="H7"/>
      <c r="I7"/>
      <c r="J7"/>
      <c r="K7"/>
      <c r="L7" s="4"/>
    </row>
    <row r="8" spans="1:14" x14ac:dyDescent="0.2">
      <c r="A8"/>
      <c r="B8"/>
      <c r="C8" t="s">
        <v>111</v>
      </c>
      <c r="D8"/>
      <c r="E8">
        <v>400</v>
      </c>
      <c r="F8"/>
      <c r="G8"/>
      <c r="H8">
        <v>400</v>
      </c>
      <c r="I8"/>
      <c r="J8" s="23">
        <v>0</v>
      </c>
      <c r="K8"/>
      <c r="L8" s="4">
        <f t="shared" ref="L8:L16" si="0">SUM(J8/E8)</f>
        <v>0</v>
      </c>
      <c r="N8" s="22">
        <v>400</v>
      </c>
    </row>
    <row r="9" spans="1:14" x14ac:dyDescent="0.2">
      <c r="A9"/>
      <c r="B9"/>
      <c r="C9" t="s">
        <v>113</v>
      </c>
      <c r="D9"/>
      <c r="E9">
        <v>300</v>
      </c>
      <c r="F9"/>
      <c r="G9"/>
      <c r="H9">
        <v>300</v>
      </c>
      <c r="I9"/>
      <c r="J9" s="23">
        <v>0</v>
      </c>
      <c r="K9"/>
      <c r="L9" s="4">
        <f t="shared" si="0"/>
        <v>0</v>
      </c>
      <c r="N9" s="22">
        <v>300</v>
      </c>
    </row>
    <row r="10" spans="1:14" x14ac:dyDescent="0.2">
      <c r="A10"/>
      <c r="B10"/>
      <c r="C10" t="s">
        <v>112</v>
      </c>
      <c r="D10"/>
      <c r="E10">
        <v>300</v>
      </c>
      <c r="F10"/>
      <c r="G10"/>
      <c r="H10">
        <v>300</v>
      </c>
      <c r="I10"/>
      <c r="J10" s="23">
        <v>0</v>
      </c>
      <c r="K10"/>
      <c r="L10" s="4">
        <f t="shared" si="0"/>
        <v>0</v>
      </c>
      <c r="N10" s="22">
        <v>300</v>
      </c>
    </row>
    <row r="11" spans="1:14" x14ac:dyDescent="0.2">
      <c r="A11"/>
      <c r="B11" t="s">
        <v>45</v>
      </c>
      <c r="C11"/>
      <c r="D11"/>
      <c r="E11">
        <v>4000</v>
      </c>
      <c r="F11"/>
      <c r="G11"/>
      <c r="H11">
        <v>4000</v>
      </c>
      <c r="I11"/>
      <c r="J11" s="23">
        <v>586</v>
      </c>
      <c r="K11" s="7" t="s">
        <v>0</v>
      </c>
      <c r="L11" s="4">
        <f t="shared" si="0"/>
        <v>0.14649999999999999</v>
      </c>
      <c r="N11" s="22">
        <v>4000</v>
      </c>
    </row>
    <row r="12" spans="1:14" x14ac:dyDescent="0.2">
      <c r="A12"/>
      <c r="B12" t="s">
        <v>46</v>
      </c>
      <c r="C12"/>
      <c r="D12"/>
      <c r="E12">
        <v>10400</v>
      </c>
      <c r="F12"/>
      <c r="G12"/>
      <c r="H12">
        <v>10400</v>
      </c>
      <c r="I12"/>
      <c r="J12" s="23">
        <v>1696</v>
      </c>
      <c r="K12"/>
      <c r="L12" s="4">
        <f t="shared" si="0"/>
        <v>0.16307692307692306</v>
      </c>
      <c r="N12" s="22">
        <v>10400</v>
      </c>
    </row>
    <row r="13" spans="1:14" x14ac:dyDescent="0.2">
      <c r="A13"/>
      <c r="B13" t="s">
        <v>121</v>
      </c>
      <c r="C13"/>
      <c r="D13"/>
      <c r="E13">
        <v>7350</v>
      </c>
      <c r="F13"/>
      <c r="G13"/>
      <c r="H13">
        <v>7350</v>
      </c>
      <c r="I13"/>
      <c r="J13" s="23">
        <v>490</v>
      </c>
      <c r="K13"/>
      <c r="L13" s="4">
        <f t="shared" si="0"/>
        <v>6.6666666666666666E-2</v>
      </c>
      <c r="N13" s="27">
        <v>7350</v>
      </c>
    </row>
    <row r="14" spans="1:14" x14ac:dyDescent="0.2">
      <c r="A14"/>
      <c r="B14" t="s">
        <v>47</v>
      </c>
      <c r="C14"/>
      <c r="D14"/>
      <c r="E14">
        <v>3200</v>
      </c>
      <c r="F14"/>
      <c r="G14"/>
      <c r="H14">
        <v>3200</v>
      </c>
      <c r="I14"/>
      <c r="J14" s="23">
        <v>295</v>
      </c>
      <c r="K14"/>
      <c r="L14" s="4">
        <f t="shared" si="0"/>
        <v>9.2187500000000006E-2</v>
      </c>
      <c r="N14" s="22">
        <v>3200</v>
      </c>
    </row>
    <row r="15" spans="1:14" x14ac:dyDescent="0.2">
      <c r="A15"/>
      <c r="B15" t="s">
        <v>117</v>
      </c>
      <c r="C15"/>
      <c r="D15"/>
      <c r="E15">
        <v>3000</v>
      </c>
      <c r="F15"/>
      <c r="G15"/>
      <c r="H15">
        <v>3000</v>
      </c>
      <c r="I15"/>
      <c r="J15" s="23">
        <v>200</v>
      </c>
      <c r="K15"/>
      <c r="L15" s="4">
        <f t="shared" si="0"/>
        <v>6.6666666666666666E-2</v>
      </c>
      <c r="N15" s="22">
        <v>3000</v>
      </c>
    </row>
    <row r="16" spans="1:14" x14ac:dyDescent="0.2">
      <c r="A16"/>
      <c r="B16" s="6" t="s">
        <v>49</v>
      </c>
      <c r="C16"/>
      <c r="D16"/>
      <c r="E16">
        <v>4200</v>
      </c>
      <c r="F16"/>
      <c r="G16"/>
      <c r="H16">
        <v>4200</v>
      </c>
      <c r="I16"/>
      <c r="J16" s="23">
        <v>265</v>
      </c>
      <c r="K16"/>
      <c r="L16" s="4">
        <f t="shared" si="0"/>
        <v>6.3095238095238093E-2</v>
      </c>
      <c r="N16" s="27">
        <v>4200</v>
      </c>
    </row>
    <row r="17" spans="1:17" x14ac:dyDescent="0.2">
      <c r="A17"/>
      <c r="B17" t="s">
        <v>115</v>
      </c>
      <c r="C17"/>
      <c r="D17"/>
      <c r="E17"/>
      <c r="F17"/>
      <c r="G17"/>
      <c r="H17"/>
      <c r="I17"/>
      <c r="J17" s="23"/>
      <c r="K17"/>
      <c r="L17" s="4"/>
    </row>
    <row r="18" spans="1:17" x14ac:dyDescent="0.2">
      <c r="A18"/>
      <c r="B18" s="6"/>
      <c r="C18" t="s">
        <v>108</v>
      </c>
      <c r="D18"/>
      <c r="E18">
        <v>53709</v>
      </c>
      <c r="F18"/>
      <c r="G18"/>
      <c r="H18">
        <v>53709</v>
      </c>
      <c r="I18"/>
      <c r="J18" s="23">
        <v>0</v>
      </c>
      <c r="K18"/>
      <c r="L18" s="4">
        <f>SUM(J18/E18)</f>
        <v>0</v>
      </c>
      <c r="N18" s="22">
        <f>+H18*1.02999</f>
        <v>55319.732909999999</v>
      </c>
    </row>
    <row r="19" spans="1:17" x14ac:dyDescent="0.2">
      <c r="A19"/>
      <c r="B19" s="6"/>
      <c r="C19" t="s">
        <v>109</v>
      </c>
      <c r="D19"/>
      <c r="E19">
        <v>14112</v>
      </c>
      <c r="F19"/>
      <c r="G19"/>
      <c r="H19">
        <v>14112</v>
      </c>
      <c r="I19"/>
      <c r="J19" s="23">
        <v>0</v>
      </c>
      <c r="K19"/>
      <c r="L19" s="4">
        <f>SUM(J19/E19)</f>
        <v>0</v>
      </c>
      <c r="N19" s="22">
        <f>+H19*1.02999</f>
        <v>14535.21888</v>
      </c>
    </row>
    <row r="20" spans="1:17" x14ac:dyDescent="0.2">
      <c r="A20"/>
      <c r="B20" s="6"/>
      <c r="C20" t="s">
        <v>110</v>
      </c>
      <c r="D20"/>
      <c r="E20" s="33">
        <v>24870</v>
      </c>
      <c r="F20"/>
      <c r="G20"/>
      <c r="H20" s="33">
        <v>24870</v>
      </c>
      <c r="I20"/>
      <c r="J20" s="36">
        <v>0</v>
      </c>
      <c r="K20"/>
      <c r="L20" s="34">
        <f>SUM(J20/E20)</f>
        <v>0</v>
      </c>
      <c r="N20" s="33">
        <f>+H20*1.02999</f>
        <v>25615.851299999998</v>
      </c>
      <c r="Q20" s="29"/>
    </row>
    <row r="21" spans="1:17" x14ac:dyDescent="0.2">
      <c r="A21"/>
      <c r="B21"/>
      <c r="C21"/>
      <c r="D21"/>
      <c r="E21" s="10"/>
      <c r="F21"/>
      <c r="G21"/>
      <c r="H21"/>
      <c r="I21"/>
      <c r="J21" s="26"/>
      <c r="K21"/>
      <c r="L21" s="10"/>
    </row>
    <row r="22" spans="1:17" x14ac:dyDescent="0.2">
      <c r="A22"/>
      <c r="B22" t="s">
        <v>26</v>
      </c>
      <c r="C22"/>
      <c r="D22"/>
      <c r="E22" s="33">
        <f>SUM(E7:E20)</f>
        <v>125841</v>
      </c>
      <c r="F22"/>
      <c r="G22"/>
      <c r="H22" s="33">
        <f>SUM(H7:H20)</f>
        <v>125841</v>
      </c>
      <c r="I22"/>
      <c r="J22" s="33">
        <f>SUM(J7:J20)</f>
        <v>3532</v>
      </c>
      <c r="K22"/>
      <c r="L22" s="34">
        <f>SUM(J22/E22)</f>
        <v>2.8067164119801973E-2</v>
      </c>
      <c r="N22" s="33">
        <f>SUM(N7:N20)</f>
        <v>128620.80308999999</v>
      </c>
    </row>
    <row r="23" spans="1:17" x14ac:dyDescent="0.2">
      <c r="A23"/>
      <c r="B23"/>
      <c r="C23"/>
      <c r="D23"/>
      <c r="E23"/>
      <c r="F23"/>
      <c r="G23"/>
      <c r="H23"/>
      <c r="I23"/>
      <c r="J23" s="23"/>
      <c r="K23"/>
      <c r="L23"/>
    </row>
    <row r="24" spans="1:17" x14ac:dyDescent="0.2">
      <c r="A24"/>
      <c r="B24"/>
      <c r="C24"/>
      <c r="D24"/>
      <c r="E24"/>
      <c r="F24"/>
      <c r="G24"/>
      <c r="H24"/>
      <c r="I24"/>
      <c r="J24" s="23"/>
      <c r="K24"/>
      <c r="L24" t="s">
        <v>3</v>
      </c>
    </row>
    <row r="25" spans="1:17" x14ac:dyDescent="0.2">
      <c r="A25" s="24" t="s">
        <v>53</v>
      </c>
      <c r="B25" s="24"/>
      <c r="C25" s="24"/>
      <c r="D25"/>
      <c r="E25" s="25" t="s">
        <v>5</v>
      </c>
      <c r="F25"/>
      <c r="G25"/>
      <c r="H25" s="24" t="s">
        <v>116</v>
      </c>
      <c r="I25"/>
      <c r="J25" s="24" t="s">
        <v>6</v>
      </c>
      <c r="K25"/>
      <c r="L25" s="24" t="s">
        <v>7</v>
      </c>
    </row>
    <row r="26" spans="1:17" x14ac:dyDescent="0.2">
      <c r="A26" s="10"/>
      <c r="B26" s="10"/>
      <c r="C26"/>
      <c r="D26"/>
      <c r="E26" s="10"/>
      <c r="F26"/>
      <c r="G26"/>
      <c r="H26" s="10"/>
      <c r="I26"/>
      <c r="J26" s="10"/>
      <c r="K26"/>
      <c r="L26" s="10"/>
    </row>
    <row r="27" spans="1:17" x14ac:dyDescent="0.2">
      <c r="A27"/>
      <c r="B27" s="15" t="s">
        <v>58</v>
      </c>
      <c r="C27"/>
      <c r="D27"/>
      <c r="E27" s="5">
        <v>52112.82</v>
      </c>
      <c r="F27"/>
      <c r="G27"/>
      <c r="H27" s="22">
        <f>51091*1.02</f>
        <v>52112.82</v>
      </c>
      <c r="I27"/>
      <c r="J27">
        <v>14031</v>
      </c>
      <c r="K27"/>
      <c r="L27" s="4">
        <f t="shared" ref="L27:L34" si="1">SUM(J27/E27)</f>
        <v>0.26924276982132228</v>
      </c>
      <c r="N27" s="22">
        <f>51091*1.02</f>
        <v>52112.82</v>
      </c>
    </row>
    <row r="28" spans="1:17" x14ac:dyDescent="0.2">
      <c r="A28"/>
      <c r="B28" s="15" t="s">
        <v>100</v>
      </c>
      <c r="C28"/>
      <c r="D28" s="7" t="s">
        <v>0</v>
      </c>
      <c r="E28">
        <v>2497</v>
      </c>
      <c r="F28"/>
      <c r="G28"/>
      <c r="H28" s="22">
        <v>2497</v>
      </c>
      <c r="I28" t="s">
        <v>0</v>
      </c>
      <c r="J28">
        <v>0</v>
      </c>
      <c r="K28"/>
      <c r="L28" s="4">
        <f t="shared" si="1"/>
        <v>0</v>
      </c>
      <c r="N28" s="22">
        <v>2497</v>
      </c>
    </row>
    <row r="29" spans="1:17" x14ac:dyDescent="0.2">
      <c r="A29"/>
      <c r="B29" s="15" t="s">
        <v>59</v>
      </c>
      <c r="C29"/>
      <c r="D29" s="7" t="s">
        <v>0</v>
      </c>
      <c r="E29">
        <v>12345</v>
      </c>
      <c r="F29"/>
      <c r="G29"/>
      <c r="H29" s="22">
        <f>12508-163</f>
        <v>12345</v>
      </c>
      <c r="I29" t="s">
        <v>0</v>
      </c>
      <c r="J29">
        <v>1589</v>
      </c>
      <c r="K29"/>
      <c r="L29" s="4">
        <f t="shared" si="1"/>
        <v>0.12871607938436613</v>
      </c>
      <c r="N29" s="22">
        <f>12508-163</f>
        <v>12345</v>
      </c>
    </row>
    <row r="30" spans="1:17" x14ac:dyDescent="0.2">
      <c r="A30"/>
      <c r="B30" s="15" t="s">
        <v>60</v>
      </c>
      <c r="C30"/>
      <c r="D30"/>
      <c r="E30">
        <v>950</v>
      </c>
      <c r="F30"/>
      <c r="G30"/>
      <c r="H30" s="22">
        <v>950</v>
      </c>
      <c r="I30"/>
      <c r="J30">
        <v>0</v>
      </c>
      <c r="K30"/>
      <c r="L30" s="4">
        <f t="shared" si="1"/>
        <v>0</v>
      </c>
      <c r="N30" s="22">
        <v>950</v>
      </c>
    </row>
    <row r="31" spans="1:17" x14ac:dyDescent="0.2">
      <c r="A31"/>
      <c r="B31" s="15" t="s">
        <v>62</v>
      </c>
      <c r="C31"/>
      <c r="D31" s="7" t="s">
        <v>0</v>
      </c>
      <c r="E31">
        <v>14005</v>
      </c>
      <c r="F31"/>
      <c r="G31"/>
      <c r="H31" s="22">
        <v>14005</v>
      </c>
      <c r="I31"/>
      <c r="J31" s="5">
        <v>4308</v>
      </c>
      <c r="K31"/>
      <c r="L31" s="4">
        <f t="shared" si="1"/>
        <v>0.30760442699036061</v>
      </c>
      <c r="N31" s="22">
        <v>14005</v>
      </c>
    </row>
    <row r="32" spans="1:17" x14ac:dyDescent="0.2">
      <c r="A32"/>
      <c r="B32" s="15" t="s">
        <v>64</v>
      </c>
      <c r="C32"/>
      <c r="D32" s="7" t="s">
        <v>0</v>
      </c>
      <c r="E32">
        <v>10912</v>
      </c>
      <c r="F32"/>
      <c r="G32"/>
      <c r="H32" s="22">
        <v>10912</v>
      </c>
      <c r="I32" s="7" t="s">
        <v>0</v>
      </c>
      <c r="J32" s="5">
        <v>2323</v>
      </c>
      <c r="K32"/>
      <c r="L32" s="4">
        <f t="shared" si="1"/>
        <v>0.21288489736070382</v>
      </c>
      <c r="N32" s="22">
        <v>10912</v>
      </c>
    </row>
    <row r="33" spans="1:14" x14ac:dyDescent="0.2">
      <c r="A33"/>
      <c r="B33" s="15" t="s">
        <v>65</v>
      </c>
      <c r="C33"/>
      <c r="D33"/>
      <c r="E33">
        <v>5195</v>
      </c>
      <c r="F33" s="7" t="s">
        <v>0</v>
      </c>
      <c r="G33" s="7"/>
      <c r="H33" s="22">
        <v>5195</v>
      </c>
      <c r="I33" s="7" t="s">
        <v>0</v>
      </c>
      <c r="J33" s="5">
        <v>1187</v>
      </c>
      <c r="K33"/>
      <c r="L33" s="4">
        <f t="shared" si="1"/>
        <v>0.22848893166506257</v>
      </c>
      <c r="N33" s="22">
        <v>5195</v>
      </c>
    </row>
    <row r="34" spans="1:14" x14ac:dyDescent="0.2">
      <c r="A34"/>
      <c r="B34" s="15" t="s">
        <v>66</v>
      </c>
      <c r="C34"/>
      <c r="D34"/>
      <c r="E34">
        <v>268</v>
      </c>
      <c r="F34"/>
      <c r="G34"/>
      <c r="H34" s="22">
        <v>268</v>
      </c>
      <c r="I34"/>
      <c r="J34" s="5">
        <v>106</v>
      </c>
      <c r="K34"/>
      <c r="L34" s="4">
        <f t="shared" si="1"/>
        <v>0.39552238805970147</v>
      </c>
      <c r="N34" s="22">
        <v>268</v>
      </c>
    </row>
    <row r="35" spans="1:14" x14ac:dyDescent="0.2">
      <c r="A35"/>
      <c r="B35" s="15" t="s">
        <v>119</v>
      </c>
      <c r="C35"/>
      <c r="D35"/>
      <c r="E35">
        <v>7840</v>
      </c>
      <c r="F35"/>
      <c r="G35"/>
      <c r="H35" s="22">
        <v>7840</v>
      </c>
      <c r="I35"/>
      <c r="J35" s="5">
        <v>2194</v>
      </c>
      <c r="K35"/>
      <c r="L35" s="4">
        <v>0</v>
      </c>
      <c r="N35" s="22">
        <v>7840</v>
      </c>
    </row>
    <row r="36" spans="1:14" x14ac:dyDescent="0.2">
      <c r="A36"/>
      <c r="B36" s="15" t="s">
        <v>120</v>
      </c>
      <c r="C36"/>
      <c r="D36"/>
      <c r="E36">
        <v>4297</v>
      </c>
      <c r="F36"/>
      <c r="G36"/>
      <c r="H36" s="27">
        <v>4297</v>
      </c>
      <c r="I36"/>
      <c r="J36" s="5">
        <v>0</v>
      </c>
      <c r="K36"/>
      <c r="L36" s="4"/>
      <c r="N36" s="27">
        <v>4297</v>
      </c>
    </row>
    <row r="37" spans="1:14" x14ac:dyDescent="0.2">
      <c r="A37"/>
      <c r="B37" s="15" t="s">
        <v>67</v>
      </c>
      <c r="C37"/>
      <c r="D37"/>
      <c r="E37">
        <v>900</v>
      </c>
      <c r="F37"/>
      <c r="G37"/>
      <c r="H37" s="22">
        <v>900</v>
      </c>
      <c r="I37"/>
      <c r="J37" s="5">
        <v>151</v>
      </c>
      <c r="K37"/>
      <c r="L37" s="4">
        <f>SUM(J37/E37)</f>
        <v>0.16777777777777778</v>
      </c>
      <c r="N37" s="22">
        <v>900</v>
      </c>
    </row>
    <row r="38" spans="1:14" x14ac:dyDescent="0.2">
      <c r="A38"/>
      <c r="B38" s="15" t="s">
        <v>125</v>
      </c>
      <c r="C38"/>
      <c r="D38"/>
      <c r="E38"/>
      <c r="F38"/>
      <c r="G38"/>
      <c r="I38"/>
      <c r="J38" s="5">
        <v>0</v>
      </c>
      <c r="K38"/>
      <c r="L38" s="4"/>
    </row>
    <row r="39" spans="1:14" x14ac:dyDescent="0.2">
      <c r="A39"/>
      <c r="B39" s="15" t="s">
        <v>68</v>
      </c>
      <c r="C39"/>
      <c r="D39"/>
      <c r="E39">
        <v>7500</v>
      </c>
      <c r="F39"/>
      <c r="G39"/>
      <c r="H39" s="27">
        <v>7500</v>
      </c>
      <c r="I39" s="23"/>
      <c r="J39" s="17">
        <v>847</v>
      </c>
      <c r="K39" s="23"/>
      <c r="L39" s="28">
        <f>SUM(J39/E39)</f>
        <v>0.11293333333333333</v>
      </c>
      <c r="M39" s="27"/>
      <c r="N39" s="27">
        <v>7500</v>
      </c>
    </row>
    <row r="40" spans="1:14" x14ac:dyDescent="0.2">
      <c r="A40"/>
      <c r="B40" s="15" t="s">
        <v>69</v>
      </c>
      <c r="C40"/>
      <c r="D40"/>
      <c r="E40" s="33">
        <v>1000</v>
      </c>
      <c r="F40"/>
      <c r="G40"/>
      <c r="H40" s="33">
        <v>1000</v>
      </c>
      <c r="I40"/>
      <c r="J40" s="33">
        <v>48</v>
      </c>
      <c r="K40"/>
      <c r="L40" s="34">
        <f>SUM(J40/E40)</f>
        <v>4.8000000000000001E-2</v>
      </c>
      <c r="N40" s="33">
        <v>1000</v>
      </c>
    </row>
    <row r="41" spans="1:14" x14ac:dyDescent="0.2">
      <c r="A41"/>
      <c r="B41" s="15"/>
      <c r="C41"/>
      <c r="D41"/>
      <c r="E41" s="11"/>
      <c r="F41"/>
      <c r="G41"/>
      <c r="H41" s="11"/>
      <c r="I41"/>
      <c r="J41" s="11"/>
      <c r="K41"/>
      <c r="L41" s="11"/>
    </row>
    <row r="42" spans="1:14" x14ac:dyDescent="0.2">
      <c r="A42"/>
      <c r="B42" s="15" t="s">
        <v>118</v>
      </c>
      <c r="C42"/>
      <c r="D42"/>
      <c r="E42" s="33">
        <f>SUM(E27:E40)</f>
        <v>119821.82</v>
      </c>
      <c r="F42"/>
      <c r="G42"/>
      <c r="H42" s="33">
        <f>SUM(H27:H40)</f>
        <v>119821.82</v>
      </c>
      <c r="I42"/>
      <c r="J42" s="33">
        <f>SUM(J27:J40)</f>
        <v>26784</v>
      </c>
      <c r="K42"/>
      <c r="L42" s="34">
        <f>SUM(J42/E42)</f>
        <v>0.22353190762750891</v>
      </c>
      <c r="N42" s="33">
        <f>SUM(N27:N40)</f>
        <v>119821.82</v>
      </c>
    </row>
    <row r="43" spans="1:14" x14ac:dyDescent="0.2">
      <c r="A43"/>
      <c r="B43" s="15"/>
      <c r="C43"/>
      <c r="D43"/>
      <c r="E43" s="11"/>
      <c r="F43"/>
      <c r="G43"/>
      <c r="H43" s="11"/>
      <c r="I43"/>
      <c r="J43" s="11"/>
      <c r="K43"/>
      <c r="L43" s="11"/>
      <c r="N43" s="11"/>
    </row>
    <row r="44" spans="1:14" x14ac:dyDescent="0.2">
      <c r="A44"/>
      <c r="B44" s="15" t="s">
        <v>71</v>
      </c>
      <c r="C44"/>
      <c r="D44" s="13" t="s">
        <v>0</v>
      </c>
      <c r="E44" s="5">
        <v>2168</v>
      </c>
      <c r="F44"/>
      <c r="G44"/>
      <c r="H44" s="22">
        <v>2168</v>
      </c>
      <c r="I44"/>
      <c r="J44" s="5">
        <f>+E44/12*A!O5</f>
        <v>1445.3333333333333</v>
      </c>
      <c r="K44"/>
      <c r="L44" s="4">
        <f>SUM(J44/E44)</f>
        <v>0.66666666666666663</v>
      </c>
      <c r="N44" s="22">
        <v>2168</v>
      </c>
    </row>
    <row r="45" spans="1:14" x14ac:dyDescent="0.2">
      <c r="A45"/>
      <c r="B45" s="15" t="s">
        <v>72</v>
      </c>
      <c r="C45"/>
      <c r="D45"/>
      <c r="E45" s="33">
        <v>3660</v>
      </c>
      <c r="F45"/>
      <c r="G45"/>
      <c r="H45" s="33">
        <v>3660</v>
      </c>
      <c r="I45"/>
      <c r="J45" s="33">
        <v>536</v>
      </c>
      <c r="K45"/>
      <c r="L45" s="34">
        <f>SUM(J45/E45)</f>
        <v>0.14644808743169399</v>
      </c>
      <c r="N45" s="33">
        <v>3660</v>
      </c>
    </row>
    <row r="46" spans="1:14" x14ac:dyDescent="0.2">
      <c r="A46"/>
      <c r="B46" s="15"/>
      <c r="C46"/>
      <c r="D46"/>
      <c r="E46" s="11"/>
      <c r="F46"/>
      <c r="G46"/>
      <c r="H46" s="11"/>
      <c r="I46"/>
      <c r="J46" s="11"/>
      <c r="K46"/>
      <c r="L46" s="10"/>
      <c r="N46" s="11"/>
    </row>
    <row r="47" spans="1:14" x14ac:dyDescent="0.2">
      <c r="A47"/>
      <c r="B47" s="15" t="s">
        <v>73</v>
      </c>
      <c r="C47"/>
      <c r="D47"/>
      <c r="E47" s="33">
        <f>SUM(E42:E45)</f>
        <v>125649.82</v>
      </c>
      <c r="F47"/>
      <c r="G47"/>
      <c r="H47" s="33">
        <f>SUM(H42:H45)</f>
        <v>125649.82</v>
      </c>
      <c r="I47"/>
      <c r="J47" s="33">
        <f>SUM(J42:J45)</f>
        <v>28765.333333333332</v>
      </c>
      <c r="K47"/>
      <c r="L47" s="34">
        <f>SUM(J47/E47)</f>
        <v>0.22893254708469404</v>
      </c>
      <c r="N47" s="33">
        <f>SUM(N42:N45)</f>
        <v>125649.82</v>
      </c>
    </row>
    <row r="48" spans="1:14" x14ac:dyDescent="0.2">
      <c r="A48"/>
      <c r="B48" s="15"/>
      <c r="C48"/>
      <c r="D48"/>
      <c r="E48" s="11"/>
      <c r="F48"/>
      <c r="G48"/>
      <c r="H48" s="11"/>
      <c r="I48"/>
      <c r="J48" s="11"/>
      <c r="K48"/>
      <c r="L48" s="10"/>
      <c r="N48" s="11"/>
    </row>
    <row r="49" spans="1:14" x14ac:dyDescent="0.2">
      <c r="A49"/>
      <c r="B49" s="15" t="s">
        <v>26</v>
      </c>
      <c r="C49"/>
      <c r="D49"/>
      <c r="E49"/>
      <c r="F49"/>
      <c r="G49"/>
      <c r="H49"/>
      <c r="I49"/>
      <c r="J49"/>
      <c r="K49"/>
      <c r="L49"/>
      <c r="N49"/>
    </row>
    <row r="50" spans="1:14" ht="15.75" thickBot="1" x14ac:dyDescent="0.25">
      <c r="A50"/>
      <c r="B50" s="15" t="s">
        <v>30</v>
      </c>
      <c r="C50"/>
      <c r="D50"/>
      <c r="E50" s="35">
        <f>SUM(E22-E47)</f>
        <v>191.17999999999302</v>
      </c>
      <c r="F50"/>
      <c r="G50"/>
      <c r="H50" s="35">
        <f>SUM(H22-H47)</f>
        <v>191.17999999999302</v>
      </c>
      <c r="I50"/>
      <c r="J50" s="35">
        <f>SUM(J22-J47)</f>
        <v>-25233.333333333332</v>
      </c>
      <c r="K50"/>
      <c r="L50"/>
      <c r="N50" s="35">
        <f>SUM(N22-N47)</f>
        <v>2970.9830899999797</v>
      </c>
    </row>
    <row r="51" spans="1:14" ht="15.75" thickTop="1" x14ac:dyDescent="0.2">
      <c r="A51"/>
      <c r="B51"/>
      <c r="C51"/>
      <c r="D51"/>
      <c r="E51" s="10"/>
      <c r="F51"/>
      <c r="G51"/>
      <c r="H51" s="10"/>
      <c r="I51"/>
      <c r="J51" s="10"/>
      <c r="K51"/>
      <c r="L51"/>
      <c r="N51" s="10"/>
    </row>
  </sheetData>
  <mergeCells count="2">
    <mergeCell ref="A1:L1"/>
    <mergeCell ref="A2:L2"/>
  </mergeCells>
  <phoneticPr fontId="0" type="noConversion"/>
  <pageMargins left="0.75" right="0.5" top="0.5" bottom="0.5" header="0.5" footer="0.5"/>
  <pageSetup scale="85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15</vt:i4>
      </vt:variant>
    </vt:vector>
  </HeadingPairs>
  <TitlesOfParts>
    <vt:vector size="17" baseType="lpstr">
      <vt:lpstr>A</vt:lpstr>
      <vt:lpstr>B</vt:lpstr>
      <vt:lpstr>_1</vt:lpstr>
      <vt:lpstr>_2</vt:lpstr>
      <vt:lpstr>_3</vt:lpstr>
      <vt:lpstr>_4</vt:lpstr>
      <vt:lpstr>_6</vt:lpstr>
      <vt:lpstr>_8</vt:lpstr>
      <vt:lpstr>C_</vt:lpstr>
      <vt:lpstr>D</vt:lpstr>
      <vt:lpstr>A!Print_Area</vt:lpstr>
      <vt:lpstr>B!Print_Area</vt:lpstr>
      <vt:lpstr>A!Print_Area_MI</vt:lpstr>
      <vt:lpstr>A!Print_Titles</vt:lpstr>
      <vt:lpstr>A!Print_Titles_MI</vt:lpstr>
      <vt:lpstr>X</vt:lpstr>
      <vt:lpstr>Z</vt:lpstr>
    </vt:vector>
  </TitlesOfParts>
  <Company>Dell Computer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Graham</dc:creator>
  <cp:lastModifiedBy>Pat Korloch</cp:lastModifiedBy>
  <cp:lastPrinted>2006-03-15T19:11:36Z</cp:lastPrinted>
  <dcterms:created xsi:type="dcterms:W3CDTF">1999-04-13T02:58:51Z</dcterms:created>
  <dcterms:modified xsi:type="dcterms:W3CDTF">2014-04-10T20:25:28Z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-688860306</vt:i4>
  </property>
  <property fmtid="{D5CDD505-2E9C-101B-9397-08002B2CF9AE}" pid="3" name="_EmailSubject">
    <vt:lpwstr>Additional files to post</vt:lpwstr>
  </property>
  <property fmtid="{D5CDD505-2E9C-101B-9397-08002B2CF9AE}" pid="4" name="_AuthorEmail">
    <vt:lpwstr>dmartell@msbo.org</vt:lpwstr>
  </property>
  <property fmtid="{D5CDD505-2E9C-101B-9397-08002B2CF9AE}" pid="5" name="_AuthorEmailDisplayName">
    <vt:lpwstr>David Martell</vt:lpwstr>
  </property>
  <property fmtid="{D5CDD505-2E9C-101B-9397-08002B2CF9AE}" pid="6" name="_ReviewingToolsShownOnce">
    <vt:lpwstr/>
  </property>
</Properties>
</file>