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autoCompressPictures="0"/>
  <bookViews>
    <workbookView xWindow="8380" yWindow="2440" windowWidth="26100" windowHeight="184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C34" i="1"/>
  <c r="C72" i="1"/>
  <c r="C73" i="1"/>
  <c r="B71" i="1"/>
  <c r="B72" i="1"/>
  <c r="B73" i="1"/>
  <c r="E67" i="1"/>
  <c r="C55" i="1"/>
  <c r="C56" i="1"/>
  <c r="C53" i="1"/>
  <c r="B53" i="1"/>
  <c r="E50" i="1"/>
  <c r="E73" i="1"/>
  <c r="B54" i="1"/>
  <c r="B55" i="1"/>
  <c r="B56" i="1"/>
  <c r="E56" i="1"/>
  <c r="D34" i="1"/>
  <c r="D8" i="1"/>
  <c r="D12" i="1"/>
  <c r="D14" i="1"/>
  <c r="E8" i="1"/>
  <c r="E12" i="1"/>
  <c r="E14" i="1"/>
  <c r="C8" i="1"/>
  <c r="C12" i="1"/>
  <c r="C30" i="1"/>
  <c r="C37" i="1"/>
  <c r="D23" i="1"/>
  <c r="E23" i="1"/>
  <c r="C23" i="1"/>
  <c r="D21" i="1"/>
  <c r="D27" i="1"/>
  <c r="E21" i="1"/>
  <c r="E27" i="1"/>
  <c r="C21" i="1"/>
  <c r="D16" i="1"/>
  <c r="E16" i="1"/>
  <c r="C13" i="1"/>
  <c r="C24" i="1"/>
  <c r="C22" i="1"/>
  <c r="C27" i="1"/>
  <c r="C14" i="1"/>
  <c r="C15" i="1"/>
  <c r="D36" i="1"/>
  <c r="C16" i="1"/>
  <c r="E45" i="1"/>
  <c r="C35" i="1"/>
  <c r="C36" i="1"/>
  <c r="C38" i="1"/>
  <c r="C28" i="1"/>
  <c r="E74" i="1"/>
  <c r="D37" i="1"/>
  <c r="D38" i="1"/>
  <c r="E75" i="1"/>
  <c r="E57" i="1"/>
  <c r="E58" i="1"/>
</calcChain>
</file>

<file path=xl/sharedStrings.xml><?xml version="1.0" encoding="utf-8"?>
<sst xmlns="http://schemas.openxmlformats.org/spreadsheetml/2006/main" count="108" uniqueCount="95">
  <si>
    <t xml:space="preserve">Total Buses </t>
  </si>
  <si>
    <t># Mechanics</t>
  </si>
  <si>
    <t>Avg Salary Per Mechanic</t>
  </si>
  <si>
    <t>Tires/Batteries</t>
  </si>
  <si>
    <t>Repair Parts</t>
  </si>
  <si>
    <t># Buses Per Mechanic</t>
  </si>
  <si>
    <t xml:space="preserve">Total Mechanic Salary </t>
  </si>
  <si>
    <t>SE 4107</t>
  </si>
  <si>
    <t>SE 4094 Ln 5</t>
  </si>
  <si>
    <t>SE 4094 Ln 20</t>
  </si>
  <si>
    <t>SE 4094 Ln 24</t>
  </si>
  <si>
    <t>SE 4094 Ln 25</t>
  </si>
  <si>
    <t>Total Vehicle Maintenance &amp; Repair Costs</t>
  </si>
  <si>
    <r>
      <t xml:space="preserve">Average Vehicle Maintenance </t>
    </r>
    <r>
      <rPr>
        <sz val="9"/>
        <rFont val="Arial"/>
        <family val="2"/>
      </rPr>
      <t xml:space="preserve">Cost Per Bus </t>
    </r>
  </si>
  <si>
    <t>Contracted Vehicle Maintenance Costs</t>
  </si>
  <si>
    <t>Data Source</t>
  </si>
  <si>
    <t>Total Vehicle Maint Repair Costs / Total Buses</t>
  </si>
  <si>
    <t># Mechanics / Total Buses</t>
  </si>
  <si>
    <t>Fuel Costs</t>
  </si>
  <si>
    <t>SE 4094 Line 22</t>
  </si>
  <si>
    <t>Total Miles Traveled</t>
  </si>
  <si>
    <t>SE 4094 Line 31</t>
  </si>
  <si>
    <t>Total Fuel Consumed (in gallons)</t>
  </si>
  <si>
    <t>SE 4094 Line 29</t>
  </si>
  <si>
    <t>Miles Per Gallon</t>
  </si>
  <si>
    <t>Total Miles / Total Fuel in Gallons</t>
  </si>
  <si>
    <t>Avg 3 years</t>
  </si>
  <si>
    <t>To Calculate Potential Fuel Savings (using entire fleet)</t>
  </si>
  <si>
    <t>Avg Miles per Bus Per Year</t>
  </si>
  <si>
    <t>3 Year Average Per Bus Cost</t>
  </si>
  <si>
    <t>Gallons of Fuel Saved (Fleet)</t>
  </si>
  <si>
    <t>Fuel Savings</t>
  </si>
  <si>
    <t>Sample District Data</t>
  </si>
  <si>
    <t>Benefit Cost (based on total trans. Dept benefits / total dept. FTE</t>
  </si>
  <si>
    <t>SE 4094 Ln 7 / Ln 6 FTE Total</t>
  </si>
  <si>
    <t>Mechanic Salary &amp; Benefits + Contracted Maintenance  + Tires &amp; Batteries + Repair Parts</t>
  </si>
  <si>
    <t>Other consideration - Parts Inventory</t>
  </si>
  <si>
    <t>Does not include any environmental benefits which cannot be calculated financially.</t>
  </si>
  <si>
    <t>3 Year Average Total                         Maintenance Cost</t>
  </si>
  <si>
    <t>Total Mechanic Salary &amp; Benefits / #Mechanics</t>
  </si>
  <si>
    <t>Oakland Schools Bus Maintenance Cost Template</t>
  </si>
  <si>
    <t>2011-2012</t>
  </si>
  <si>
    <t>2012-2013</t>
  </si>
  <si>
    <t>Per year</t>
  </si>
  <si>
    <r>
      <t xml:space="preserve">Fuel saved x </t>
    </r>
    <r>
      <rPr>
        <b/>
        <sz val="11"/>
        <color rgb="FFFF0000"/>
        <rFont val="Calibri"/>
        <family val="2"/>
        <scheme val="minor"/>
      </rPr>
      <t>$3.51</t>
    </r>
    <r>
      <rPr>
        <sz val="11"/>
        <color theme="1"/>
        <rFont val="Calibri"/>
        <family val="2"/>
        <scheme val="minor"/>
      </rPr>
      <t xml:space="preserve"> per gallon*</t>
    </r>
  </si>
  <si>
    <t>Estimated MPG (7.5) - Miles Per Gallon / Miles Per Gallon</t>
  </si>
  <si>
    <t xml:space="preserve"> </t>
  </si>
  <si>
    <t>3 Year Average</t>
  </si>
  <si>
    <r>
      <t xml:space="preserve">Estimated Increase in Fuel Economy            </t>
    </r>
    <r>
      <rPr>
        <i/>
        <sz val="11"/>
        <color theme="1"/>
        <rFont val="Calibri"/>
        <family val="2"/>
        <scheme val="minor"/>
      </rPr>
      <t>(New bus is estimated 8 MPG)</t>
    </r>
  </si>
  <si>
    <t>Per Bus</t>
  </si>
  <si>
    <t>Total Fleet</t>
  </si>
  <si>
    <t>Lease cost per year x # buses 12/13</t>
  </si>
  <si>
    <t>Fuel savings based on increased MPG</t>
  </si>
  <si>
    <t>Bus Replacement Option Calculator</t>
  </si>
  <si>
    <t>Does not include finance charges</t>
  </si>
  <si>
    <t xml:space="preserve">3 year average total maintenance cost from Bus Maintenance Cost Template </t>
  </si>
  <si>
    <t>Bus Type</t>
  </si>
  <si>
    <t>Special Ed Bus</t>
  </si>
  <si>
    <t>General Ed Bus</t>
  </si>
  <si>
    <t xml:space="preserve">Total Fleet </t>
  </si>
  <si>
    <t>Number of Buses</t>
  </si>
  <si>
    <t>Description</t>
  </si>
  <si>
    <t>53 pass fully tracked lift</t>
  </si>
  <si>
    <t>77 pass conventional</t>
  </si>
  <si>
    <t>Purchase Price (est)</t>
  </si>
  <si>
    <t>State SE Reimb 70.4165% year</t>
  </si>
  <si>
    <t>Yearly cost net SE Reimbursement</t>
  </si>
  <si>
    <t>Yearly net cost * number of buses</t>
  </si>
  <si>
    <t xml:space="preserve"> Fuel Savings</t>
  </si>
  <si>
    <t>Bus type</t>
  </si>
  <si>
    <t xml:space="preserve">Purchase price </t>
  </si>
  <si>
    <t>Estimated yearly lease cost</t>
  </si>
  <si>
    <t>SE Reimbursement 70.4165% year</t>
  </si>
  <si>
    <t>Yearly cost * number of buses</t>
  </si>
  <si>
    <t>Finance options vary by dealer</t>
  </si>
  <si>
    <t>Interest rates 2.85 - 3.25% (or less)</t>
  </si>
  <si>
    <t>Option Two - Sample Lease 5 year Term</t>
  </si>
  <si>
    <t xml:space="preserve">Option One - Sample District Purchase </t>
  </si>
  <si>
    <t>Average fuel cost per gallon</t>
  </si>
  <si>
    <t xml:space="preserve">Estimated district savings per year </t>
  </si>
  <si>
    <t xml:space="preserve">- 3 Yr Avg Vehicle Maint Repair Costs </t>
  </si>
  <si>
    <r>
      <t xml:space="preserve">District lease cost </t>
    </r>
    <r>
      <rPr>
        <b/>
        <i/>
        <sz val="11"/>
        <color theme="1"/>
        <rFont val="Calibri"/>
        <family val="2"/>
        <scheme val="minor"/>
      </rPr>
      <t>minus</t>
    </r>
    <r>
      <rPr>
        <i/>
        <sz val="11"/>
        <color theme="1"/>
        <rFont val="Calibri"/>
        <family val="2"/>
        <scheme val="minor"/>
      </rPr>
      <t xml:space="preserve"> 3 Yr Avg MRC</t>
    </r>
  </si>
  <si>
    <t xml:space="preserve">  Calculated Fuel Savings</t>
  </si>
  <si>
    <t xml:space="preserve">See attached Option Calculator for State SE reimbursement </t>
  </si>
  <si>
    <t>Lease Option Calculation</t>
  </si>
  <si>
    <t>Yearly Amortization/7 years (SE-4107)</t>
  </si>
  <si>
    <t>1st year total savings net 3 yr avg maint cost</t>
  </si>
  <si>
    <t>Finance Options</t>
  </si>
  <si>
    <t>Finance 5-6 years and turn back into dealer - see dealer for details</t>
  </si>
  <si>
    <t>Lease rates and options vary by dealer</t>
  </si>
  <si>
    <t>Total Fuel Consumed (yr 3) X Avg 3 yrs  increase in Economy</t>
  </si>
  <si>
    <r>
      <rPr>
        <b/>
        <sz val="10"/>
        <color theme="1"/>
        <rFont val="Calibri"/>
        <family val="2"/>
        <scheme val="minor"/>
      </rPr>
      <t>Soft Costs</t>
    </r>
    <r>
      <rPr>
        <sz val="10"/>
        <color theme="1"/>
        <rFont val="Calibri"/>
        <family val="2"/>
        <scheme val="minor"/>
      </rPr>
      <t xml:space="preserve"> - Student and staff safety </t>
    </r>
  </si>
  <si>
    <t>Notes: *Lease cost estimate, will change based on specifications and lease options</t>
  </si>
  <si>
    <t>2013-2014</t>
  </si>
  <si>
    <t>*Average Oakland County cost 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</si>
</sst>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left" wrapText="1"/>
      <protection hidden="1"/>
    </xf>
    <xf numFmtId="0" fontId="5" fillId="0" borderId="1" xfId="0" applyFont="1" applyBorder="1" applyAlignment="1" applyProtection="1">
      <alignment horizontal="right" wrapText="1"/>
      <protection hidden="1"/>
    </xf>
    <xf numFmtId="0" fontId="5" fillId="0" borderId="1" xfId="0" applyFont="1" applyBorder="1" applyAlignment="1">
      <alignment horizontal="center"/>
    </xf>
    <xf numFmtId="165" fontId="3" fillId="0" borderId="1" xfId="2" applyNumberFormat="1" applyFont="1" applyBorder="1" applyAlignment="1" applyProtection="1">
      <alignment horizontal="center" wrapText="1"/>
      <protection hidden="1"/>
    </xf>
    <xf numFmtId="0" fontId="8" fillId="2" borderId="1" xfId="0" applyFont="1" applyFill="1" applyBorder="1" applyAlignment="1" applyProtection="1">
      <alignment horizontal="left"/>
      <protection hidden="1"/>
    </xf>
    <xf numFmtId="0" fontId="0" fillId="2" borderId="1" xfId="0" applyFill="1" applyBorder="1" applyProtection="1"/>
    <xf numFmtId="0" fontId="5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1" xfId="1" applyNumberFormat="1" applyFont="1" applyBorder="1" applyAlignment="1" applyProtection="1">
      <alignment horizontal="right"/>
      <protection hidden="1"/>
    </xf>
    <xf numFmtId="164" fontId="0" fillId="3" borderId="1" xfId="1" applyNumberFormat="1" applyFont="1" applyFill="1" applyBorder="1" applyProtection="1">
      <protection locked="0"/>
    </xf>
    <xf numFmtId="2" fontId="0" fillId="0" borderId="1" xfId="0" applyNumberFormat="1" applyBorder="1" applyProtection="1"/>
    <xf numFmtId="0" fontId="3" fillId="0" borderId="1" xfId="0" applyFont="1" applyBorder="1" applyAlignment="1" applyProtection="1">
      <alignment horizontal="right"/>
    </xf>
    <xf numFmtId="164" fontId="0" fillId="0" borderId="1" xfId="0" applyNumberFormat="1" applyBorder="1" applyProtection="1"/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3" fillId="0" borderId="1" xfId="0" applyFont="1" applyBorder="1" applyAlignment="1" applyProtection="1">
      <alignment horizontal="center" wrapText="1"/>
    </xf>
    <xf numFmtId="9" fontId="6" fillId="0" borderId="1" xfId="3" applyFont="1" applyBorder="1" applyProtection="1"/>
    <xf numFmtId="9" fontId="0" fillId="0" borderId="1" xfId="0" applyNumberFormat="1" applyBorder="1" applyProtection="1"/>
    <xf numFmtId="164" fontId="0" fillId="3" borderId="1" xfId="1" applyNumberFormat="1" applyFon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165" fontId="0" fillId="3" borderId="1" xfId="2" applyNumberFormat="1" applyFont="1" applyFill="1" applyBorder="1" applyAlignment="1" applyProtection="1">
      <alignment horizontal="right"/>
      <protection locked="0" hidden="1"/>
    </xf>
    <xf numFmtId="165" fontId="0" fillId="3" borderId="1" xfId="2" applyNumberFormat="1" applyFont="1" applyFill="1" applyBorder="1" applyProtection="1">
      <protection locked="0"/>
    </xf>
    <xf numFmtId="6" fontId="0" fillId="3" borderId="1" xfId="0" applyNumberFormat="1" applyFill="1" applyBorder="1" applyAlignment="1" applyProtection="1">
      <alignment horizontal="center"/>
      <protection locked="0"/>
    </xf>
    <xf numFmtId="165" fontId="0" fillId="0" borderId="11" xfId="0" applyNumberFormat="1" applyFill="1" applyBorder="1" applyProtection="1"/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7" fontId="9" fillId="3" borderId="1" xfId="2" applyNumberFormat="1" applyFont="1" applyFill="1" applyBorder="1" applyAlignment="1" applyProtection="1">
      <alignment horizontal="center"/>
      <protection locked="0"/>
    </xf>
    <xf numFmtId="165" fontId="0" fillId="0" borderId="7" xfId="0" applyNumberFormat="1" applyBorder="1" applyProtection="1"/>
    <xf numFmtId="165" fontId="0" fillId="0" borderId="16" xfId="0" applyNumberFormat="1" applyFill="1" applyBorder="1" applyProtection="1"/>
    <xf numFmtId="44" fontId="12" fillId="0" borderId="7" xfId="0" applyNumberFormat="1" applyFont="1" applyBorder="1" applyProtection="1"/>
    <xf numFmtId="44" fontId="0" fillId="0" borderId="16" xfId="0" applyNumberFormat="1" applyBorder="1" applyProtection="1"/>
    <xf numFmtId="44" fontId="0" fillId="0" borderId="10" xfId="2" applyFont="1" applyBorder="1" applyProtection="1"/>
    <xf numFmtId="43" fontId="0" fillId="0" borderId="15" xfId="1" applyFont="1" applyBorder="1" applyProtection="1"/>
    <xf numFmtId="2" fontId="0" fillId="0" borderId="10" xfId="0" applyNumberFormat="1" applyBorder="1" applyProtection="1"/>
    <xf numFmtId="164" fontId="0" fillId="3" borderId="15" xfId="1" applyNumberFormat="1" applyFont="1" applyFill="1" applyBorder="1" applyProtection="1">
      <protection locked="0"/>
    </xf>
    <xf numFmtId="165" fontId="0" fillId="0" borderId="10" xfId="2" applyNumberFormat="1" applyFont="1" applyBorder="1" applyAlignment="1" applyProtection="1">
      <alignment horizontal="right"/>
      <protection hidden="1"/>
    </xf>
    <xf numFmtId="165" fontId="0" fillId="3" borderId="15" xfId="2" applyNumberFormat="1" applyFont="1" applyFill="1" applyBorder="1" applyProtection="1">
      <protection locked="0"/>
    </xf>
    <xf numFmtId="165" fontId="0" fillId="0" borderId="15" xfId="2" applyNumberFormat="1" applyFont="1" applyBorder="1" applyAlignment="1" applyProtection="1">
      <alignment horizontal="right"/>
      <protection hidden="1"/>
    </xf>
    <xf numFmtId="165" fontId="0" fillId="0" borderId="17" xfId="2" applyNumberFormat="1" applyFont="1" applyBorder="1" applyAlignment="1" applyProtection="1">
      <alignment horizontal="right"/>
      <protection hidden="1"/>
    </xf>
    <xf numFmtId="0" fontId="0" fillId="0" borderId="1" xfId="0" quotePrefix="1" applyBorder="1" applyAlignment="1" applyProtection="1">
      <alignment horizontal="right"/>
    </xf>
    <xf numFmtId="0" fontId="5" fillId="0" borderId="3" xfId="0" applyFont="1" applyBorder="1"/>
    <xf numFmtId="0" fontId="5" fillId="3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164" fontId="0" fillId="0" borderId="0" xfId="0" applyNumberFormat="1"/>
    <xf numFmtId="43" fontId="0" fillId="0" borderId="0" xfId="0" applyNumberFormat="1"/>
    <xf numFmtId="2" fontId="0" fillId="0" borderId="0" xfId="0" applyNumberFormat="1"/>
    <xf numFmtId="9" fontId="0" fillId="0" borderId="0" xfId="3" applyFont="1"/>
    <xf numFmtId="0" fontId="0" fillId="0" borderId="1" xfId="0" applyBorder="1" applyAlignment="1" applyProtection="1">
      <alignment horizontal="center" vertical="center"/>
    </xf>
    <xf numFmtId="0" fontId="15" fillId="0" borderId="0" xfId="0" applyFont="1" applyProtection="1"/>
    <xf numFmtId="0" fontId="16" fillId="0" borderId="0" xfId="0" applyFont="1"/>
    <xf numFmtId="0" fontId="17" fillId="0" borderId="0" xfId="0" applyFont="1" applyProtection="1"/>
    <xf numFmtId="0" fontId="16" fillId="0" borderId="0" xfId="0" applyFont="1" applyProtection="1"/>
    <xf numFmtId="0" fontId="5" fillId="2" borderId="1" xfId="0" applyFont="1" applyFill="1" applyBorder="1" applyAlignment="1" applyProtection="1">
      <alignment horizontal="center"/>
    </xf>
    <xf numFmtId="165" fontId="0" fillId="0" borderId="1" xfId="2" applyNumberFormat="1" applyFont="1" applyBorder="1" applyProtection="1"/>
    <xf numFmtId="165" fontId="0" fillId="0" borderId="1" xfId="0" applyNumberFormat="1" applyBorder="1" applyProtection="1"/>
    <xf numFmtId="165" fontId="0" fillId="0" borderId="15" xfId="0" applyNumberFormat="1" applyBorder="1" applyProtection="1"/>
    <xf numFmtId="165" fontId="0" fillId="0" borderId="10" xfId="0" applyNumberFormat="1" applyBorder="1" applyProtection="1"/>
    <xf numFmtId="165" fontId="12" fillId="0" borderId="10" xfId="0" applyNumberFormat="1" applyFont="1" applyBorder="1" applyProtection="1"/>
    <xf numFmtId="0" fontId="16" fillId="0" borderId="0" xfId="0" applyFont="1" applyAlignment="1" applyProtection="1">
      <alignment horizontal="center"/>
    </xf>
    <xf numFmtId="165" fontId="13" fillId="0" borderId="0" xfId="2" applyNumberFormat="1" applyFont="1" applyAlignment="1" applyProtection="1">
      <alignment vertical="center"/>
    </xf>
    <xf numFmtId="0" fontId="0" fillId="0" borderId="3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6" xfId="0" applyBorder="1" applyProtection="1"/>
    <xf numFmtId="0" fontId="0" fillId="0" borderId="1" xfId="0" applyFont="1" applyBorder="1" applyProtection="1"/>
    <xf numFmtId="0" fontId="5" fillId="0" borderId="1" xfId="0" applyFont="1" applyBorder="1" applyAlignment="1" applyProtection="1">
      <alignment horizontal="center" wrapText="1"/>
    </xf>
    <xf numFmtId="0" fontId="5" fillId="0" borderId="1" xfId="0" applyFont="1" applyBorder="1" applyProtection="1"/>
    <xf numFmtId="0" fontId="0" fillId="0" borderId="1" xfId="0" applyFont="1" applyBorder="1" applyAlignment="1" applyProtection="1">
      <alignment horizontal="center"/>
    </xf>
    <xf numFmtId="165" fontId="5" fillId="0" borderId="1" xfId="0" applyNumberFormat="1" applyFont="1" applyBorder="1" applyProtection="1"/>
    <xf numFmtId="44" fontId="5" fillId="0" borderId="1" xfId="0" applyNumberFormat="1" applyFont="1" applyBorder="1" applyProtection="1"/>
    <xf numFmtId="44" fontId="5" fillId="0" borderId="10" xfId="0" applyNumberFormat="1" applyFont="1" applyBorder="1" applyProtection="1"/>
    <xf numFmtId="0" fontId="0" fillId="0" borderId="0" xfId="0" applyBorder="1" applyAlignment="1" applyProtection="1">
      <alignment horizontal="right"/>
    </xf>
    <xf numFmtId="44" fontId="0" fillId="0" borderId="1" xfId="0" applyNumberFormat="1" applyBorder="1" applyProtection="1"/>
    <xf numFmtId="44" fontId="5" fillId="0" borderId="10" xfId="0" applyNumberFormat="1" applyFont="1" applyBorder="1" applyAlignment="1" applyProtection="1">
      <alignment vertical="center"/>
    </xf>
    <xf numFmtId="0" fontId="5" fillId="0" borderId="3" xfId="0" applyFont="1" applyBorder="1" applyProtection="1"/>
    <xf numFmtId="165" fontId="5" fillId="0" borderId="0" xfId="0" applyNumberFormat="1" applyFont="1" applyBorder="1" applyAlignment="1" applyProtection="1">
      <alignment horizontal="right"/>
    </xf>
    <xf numFmtId="44" fontId="5" fillId="0" borderId="6" xfId="0" applyNumberFormat="1" applyFont="1" applyBorder="1" applyProtection="1"/>
    <xf numFmtId="165" fontId="5" fillId="0" borderId="0" xfId="0" applyNumberFormat="1" applyFont="1" applyBorder="1" applyProtection="1"/>
    <xf numFmtId="165" fontId="0" fillId="0" borderId="0" xfId="2" applyNumberFormat="1" applyFont="1" applyFill="1" applyBorder="1" applyProtection="1"/>
    <xf numFmtId="165" fontId="0" fillId="0" borderId="0" xfId="0" applyNumberFormat="1" applyBorder="1" applyProtection="1"/>
    <xf numFmtId="0" fontId="0" fillId="0" borderId="0" xfId="0" applyFill="1" applyBorder="1" applyProtection="1"/>
    <xf numFmtId="0" fontId="0" fillId="0" borderId="3" xfId="0" applyFont="1" applyBorder="1" applyProtection="1"/>
    <xf numFmtId="44" fontId="5" fillId="0" borderId="0" xfId="0" applyNumberFormat="1" applyFont="1" applyBorder="1" applyProtection="1"/>
    <xf numFmtId="0" fontId="0" fillId="0" borderId="7" xfId="0" applyFont="1" applyBorder="1" applyProtection="1"/>
    <xf numFmtId="0" fontId="0" fillId="0" borderId="2" xfId="0" applyBorder="1" applyProtection="1"/>
    <xf numFmtId="0" fontId="0" fillId="0" borderId="8" xfId="0" applyBorder="1" applyProtection="1"/>
    <xf numFmtId="0" fontId="5" fillId="0" borderId="9" xfId="0" applyFont="1" applyBorder="1" applyAlignment="1" applyProtection="1">
      <alignment horizontal="center"/>
    </xf>
    <xf numFmtId="44" fontId="0" fillId="0" borderId="6" xfId="0" applyNumberFormat="1" applyBorder="1" applyProtection="1"/>
    <xf numFmtId="44" fontId="5" fillId="0" borderId="6" xfId="0" applyNumberFormat="1" applyFont="1" applyBorder="1" applyAlignment="1" applyProtection="1">
      <alignment vertical="center"/>
    </xf>
    <xf numFmtId="0" fontId="5" fillId="0" borderId="7" xfId="0" applyFont="1" applyBorder="1" applyProtection="1"/>
    <xf numFmtId="0" fontId="0" fillId="0" borderId="2" xfId="0" applyBorder="1" applyAlignment="1" applyProtection="1">
      <alignment horizontal="center"/>
    </xf>
    <xf numFmtId="165" fontId="0" fillId="4" borderId="10" xfId="2" applyNumberFormat="1" applyFont="1" applyFill="1" applyBorder="1" applyAlignment="1" applyProtection="1">
      <alignment horizontal="right"/>
      <protection hidden="1"/>
    </xf>
    <xf numFmtId="0" fontId="0" fillId="4" borderId="0" xfId="0" applyFill="1" applyProtection="1"/>
    <xf numFmtId="0" fontId="0" fillId="4" borderId="1" xfId="0" applyFill="1" applyBorder="1" applyAlignment="1" applyProtection="1">
      <alignment horizontal="center"/>
      <protection hidden="1"/>
    </xf>
    <xf numFmtId="165" fontId="0" fillId="4" borderId="1" xfId="2" applyNumberFormat="1" applyFont="1" applyFill="1" applyBorder="1" applyAlignment="1" applyProtection="1">
      <alignment horizontal="right"/>
    </xf>
    <xf numFmtId="0" fontId="0" fillId="4" borderId="1" xfId="0" applyFill="1" applyBorder="1" applyProtection="1"/>
    <xf numFmtId="164" fontId="0" fillId="4" borderId="1" xfId="0" applyNumberFormat="1" applyFill="1" applyBorder="1" applyProtection="1"/>
    <xf numFmtId="0" fontId="0" fillId="4" borderId="13" xfId="0" applyFill="1" applyBorder="1"/>
    <xf numFmtId="165" fontId="7" fillId="4" borderId="13" xfId="0" applyNumberFormat="1" applyFont="1" applyFill="1" applyBorder="1"/>
    <xf numFmtId="44" fontId="0" fillId="4" borderId="13" xfId="2" applyNumberFormat="1" applyFont="1" applyFill="1" applyBorder="1" applyProtection="1"/>
    <xf numFmtId="0" fontId="0" fillId="4" borderId="13" xfId="0" applyFill="1" applyBorder="1" applyProtection="1"/>
    <xf numFmtId="0" fontId="0" fillId="4" borderId="9" xfId="0" applyFill="1" applyBorder="1" applyProtection="1"/>
    <xf numFmtId="44" fontId="5" fillId="4" borderId="10" xfId="0" applyNumberFormat="1" applyFont="1" applyFill="1" applyBorder="1" applyProtection="1"/>
    <xf numFmtId="165" fontId="5" fillId="0" borderId="0" xfId="0" applyNumberFormat="1" applyFont="1" applyBorder="1" applyAlignment="1" applyProtection="1">
      <alignment horizontal="right" vertical="center"/>
    </xf>
    <xf numFmtId="0" fontId="12" fillId="0" borderId="11" xfId="0" applyFont="1" applyBorder="1" applyAlignment="1" applyProtection="1">
      <alignment horizontal="right"/>
    </xf>
    <xf numFmtId="0" fontId="12" fillId="0" borderId="14" xfId="0" applyFont="1" applyBorder="1" applyAlignment="1" applyProtection="1">
      <alignment horizontal="right"/>
    </xf>
    <xf numFmtId="14" fontId="8" fillId="0" borderId="12" xfId="0" applyNumberFormat="1" applyFont="1" applyBorder="1" applyAlignment="1" applyProtection="1">
      <alignment horizontal="left"/>
    </xf>
    <xf numFmtId="165" fontId="13" fillId="0" borderId="0" xfId="0" applyNumberFormat="1" applyFont="1" applyAlignment="1" applyProtection="1">
      <alignment horizontal="right" vertical="center" wrapText="1"/>
    </xf>
    <xf numFmtId="165" fontId="3" fillId="0" borderId="11" xfId="2" quotePrefix="1" applyNumberFormat="1" applyFont="1" applyBorder="1" applyAlignment="1" applyProtection="1">
      <alignment horizontal="right" wrapText="1"/>
      <protection hidden="1"/>
    </xf>
    <xf numFmtId="165" fontId="3" fillId="0" borderId="14" xfId="2" applyNumberFormat="1" applyFont="1" applyBorder="1" applyAlignment="1" applyProtection="1">
      <alignment horizontal="right" wrapText="1"/>
      <protection hidden="1"/>
    </xf>
    <xf numFmtId="165" fontId="3" fillId="0" borderId="11" xfId="2" applyNumberFormat="1" applyFont="1" applyBorder="1" applyAlignment="1" applyProtection="1">
      <alignment horizontal="right" vertical="center" wrapText="1"/>
      <protection hidden="1"/>
    </xf>
    <xf numFmtId="165" fontId="3" fillId="0" borderId="14" xfId="2" applyNumberFormat="1" applyFont="1" applyBorder="1" applyAlignment="1" applyProtection="1">
      <alignment horizontal="right" vertical="center" wrapText="1"/>
      <protection hidden="1"/>
    </xf>
    <xf numFmtId="0" fontId="11" fillId="0" borderId="4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165" fontId="0" fillId="0" borderId="11" xfId="0" applyNumberFormat="1" applyFill="1" applyBorder="1" applyAlignment="1" applyProtection="1">
      <alignment horizontal="center"/>
    </xf>
    <xf numFmtId="44" fontId="5" fillId="0" borderId="1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3" borderId="1" xfId="2" applyNumberFormat="1" applyFont="1" applyFill="1" applyBorder="1" applyAlignment="1" applyProtection="1">
      <alignment horizontal="right"/>
      <protection locked="0"/>
    </xf>
    <xf numFmtId="165" fontId="0" fillId="3" borderId="11" xfId="2" applyNumberFormat="1" applyFont="1" applyFill="1" applyBorder="1" applyAlignment="1" applyProtection="1">
      <alignment horizontal="right"/>
      <protection locked="0"/>
    </xf>
    <xf numFmtId="165" fontId="0" fillId="0" borderId="1" xfId="2" applyNumberFormat="1" applyFont="1" applyBorder="1" applyAlignment="1" applyProtection="1">
      <alignment horizontal="right"/>
    </xf>
    <xf numFmtId="165" fontId="0" fillId="0" borderId="11" xfId="2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/>
    </xf>
    <xf numFmtId="165" fontId="5" fillId="0" borderId="1" xfId="2" applyNumberFormat="1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99"/>
  </sheetPr>
  <dimension ref="A1:G77"/>
  <sheetViews>
    <sheetView tabSelected="1" zoomScale="90" zoomScaleNormal="90" zoomScalePageLayoutView="90" workbookViewId="0">
      <selection activeCell="E4" sqref="E4"/>
    </sheetView>
  </sheetViews>
  <sheetFormatPr baseColWidth="10" defaultColWidth="8.83203125" defaultRowHeight="14" x14ac:dyDescent="0"/>
  <cols>
    <col min="1" max="1" width="35.5" customWidth="1"/>
    <col min="2" max="2" width="29.1640625" style="1" customWidth="1"/>
    <col min="3" max="3" width="12.5" bestFit="1" customWidth="1"/>
    <col min="4" max="5" width="12.1640625" customWidth="1"/>
    <col min="6" max="6" width="10.5" bestFit="1" customWidth="1"/>
    <col min="7" max="7" width="11.1640625" bestFit="1" customWidth="1"/>
  </cols>
  <sheetData>
    <row r="1" spans="1:5" ht="15">
      <c r="A1" s="143" t="s">
        <v>40</v>
      </c>
      <c r="B1" s="143"/>
      <c r="C1" s="143"/>
      <c r="D1" s="143"/>
      <c r="E1" s="143"/>
    </row>
    <row r="2" spans="1:5" ht="15.75" customHeight="1">
      <c r="A2" s="17"/>
      <c r="B2" s="18"/>
      <c r="C2" s="144" t="s">
        <v>32</v>
      </c>
      <c r="D2" s="144"/>
      <c r="E2" s="144"/>
    </row>
    <row r="3" spans="1:5">
      <c r="A3" s="13"/>
      <c r="B3" s="14" t="s">
        <v>15</v>
      </c>
      <c r="C3" s="64" t="s">
        <v>93</v>
      </c>
      <c r="D3" s="64" t="s">
        <v>42</v>
      </c>
      <c r="E3" s="64" t="s">
        <v>41</v>
      </c>
    </row>
    <row r="4" spans="1:5">
      <c r="A4" s="2" t="s">
        <v>0</v>
      </c>
      <c r="B4" s="3" t="s">
        <v>7</v>
      </c>
      <c r="C4" s="29">
        <v>10</v>
      </c>
      <c r="D4" s="30">
        <v>10</v>
      </c>
      <c r="E4" s="30">
        <v>9</v>
      </c>
    </row>
    <row r="5" spans="1:5">
      <c r="A5" s="2" t="s">
        <v>1</v>
      </c>
      <c r="B5" s="3" t="s">
        <v>8</v>
      </c>
      <c r="C5" s="29">
        <v>1</v>
      </c>
      <c r="D5" s="30">
        <v>1</v>
      </c>
      <c r="E5" s="30">
        <v>1</v>
      </c>
    </row>
    <row r="6" spans="1:5">
      <c r="A6" s="2" t="s">
        <v>6</v>
      </c>
      <c r="B6" s="3" t="s">
        <v>8</v>
      </c>
      <c r="C6" s="31">
        <v>53696</v>
      </c>
      <c r="D6" s="32">
        <v>49638</v>
      </c>
      <c r="E6" s="32">
        <v>46122</v>
      </c>
    </row>
    <row r="7" spans="1:5" ht="28">
      <c r="A7" s="8" t="s">
        <v>33</v>
      </c>
      <c r="B7" s="3" t="s">
        <v>34</v>
      </c>
      <c r="C7" s="31">
        <v>13428</v>
      </c>
      <c r="D7" s="32">
        <v>12685</v>
      </c>
      <c r="E7" s="32">
        <v>11066</v>
      </c>
    </row>
    <row r="8" spans="1:5" ht="28">
      <c r="A8" s="4" t="s">
        <v>2</v>
      </c>
      <c r="B8" s="11" t="s">
        <v>39</v>
      </c>
      <c r="C8" s="65">
        <f>(C6+C7)/C5</f>
        <v>67124</v>
      </c>
      <c r="D8" s="65">
        <f t="shared" ref="D8:E8" si="0">(D6+D7)/D5</f>
        <v>62323</v>
      </c>
      <c r="E8" s="65">
        <f t="shared" si="0"/>
        <v>57188</v>
      </c>
    </row>
    <row r="9" spans="1:5">
      <c r="A9" s="8" t="s">
        <v>14</v>
      </c>
      <c r="B9" s="3" t="s">
        <v>9</v>
      </c>
      <c r="C9" s="32">
        <v>29430</v>
      </c>
      <c r="D9" s="32">
        <v>21901</v>
      </c>
      <c r="E9" s="32">
        <v>13228</v>
      </c>
    </row>
    <row r="10" spans="1:5">
      <c r="A10" s="6" t="s">
        <v>3</v>
      </c>
      <c r="B10" s="3" t="s">
        <v>10</v>
      </c>
      <c r="C10" s="32">
        <v>6591</v>
      </c>
      <c r="D10" s="32">
        <v>9601</v>
      </c>
      <c r="E10" s="32">
        <v>4741</v>
      </c>
    </row>
    <row r="11" spans="1:5" ht="15" thickBot="1">
      <c r="A11" s="6" t="s">
        <v>4</v>
      </c>
      <c r="B11" s="3" t="s">
        <v>11</v>
      </c>
      <c r="C11" s="48">
        <v>39896</v>
      </c>
      <c r="D11" s="48">
        <v>41907</v>
      </c>
      <c r="E11" s="48">
        <v>31613</v>
      </c>
    </row>
    <row r="12" spans="1:5" ht="43" thickBot="1">
      <c r="A12" s="8" t="s">
        <v>12</v>
      </c>
      <c r="B12" s="7" t="s">
        <v>35</v>
      </c>
      <c r="C12" s="50">
        <f>C8+C9+C10+C11</f>
        <v>143041</v>
      </c>
      <c r="D12" s="50">
        <f>D8+D9+D10+D11</f>
        <v>135732</v>
      </c>
      <c r="E12" s="50">
        <f>E8+E9+E10+E11</f>
        <v>106770</v>
      </c>
    </row>
    <row r="13" spans="1:5" ht="30" customHeight="1">
      <c r="A13" s="8"/>
      <c r="B13" s="9" t="s">
        <v>38</v>
      </c>
      <c r="C13" s="47">
        <f>AVERAGE(C12:E12)</f>
        <v>128514.33333333333</v>
      </c>
      <c r="D13" s="103"/>
      <c r="E13" s="103"/>
    </row>
    <row r="14" spans="1:5" ht="32.25" customHeight="1" thickBot="1">
      <c r="A14" s="8" t="s">
        <v>13</v>
      </c>
      <c r="B14" s="11" t="s">
        <v>16</v>
      </c>
      <c r="C14" s="49">
        <f>C12/C4</f>
        <v>14304.1</v>
      </c>
      <c r="D14" s="49">
        <f>D12/D4</f>
        <v>13573.2</v>
      </c>
      <c r="E14" s="49">
        <f>E12/E4</f>
        <v>11863.333333333334</v>
      </c>
    </row>
    <row r="15" spans="1:5" ht="18" customHeight="1">
      <c r="A15" s="12" t="s">
        <v>46</v>
      </c>
      <c r="B15" s="9" t="s">
        <v>29</v>
      </c>
      <c r="C15" s="47">
        <f>AVERAGE(C14:E14)</f>
        <v>13246.87777777778</v>
      </c>
      <c r="D15" s="103"/>
      <c r="E15" s="103"/>
    </row>
    <row r="16" spans="1:5">
      <c r="A16" s="4" t="s">
        <v>5</v>
      </c>
      <c r="B16" s="5" t="s">
        <v>17</v>
      </c>
      <c r="C16" s="19">
        <f>C4/C5</f>
        <v>10</v>
      </c>
      <c r="D16" s="19">
        <f t="shared" ref="D16:E16" si="1">D4/D5</f>
        <v>10</v>
      </c>
      <c r="E16" s="19">
        <f t="shared" si="1"/>
        <v>9</v>
      </c>
    </row>
    <row r="17" spans="1:7" ht="8.5" customHeight="1">
      <c r="A17" s="104"/>
      <c r="B17" s="105"/>
      <c r="C17" s="106"/>
      <c r="D17" s="107"/>
      <c r="E17" s="107"/>
    </row>
    <row r="18" spans="1:7">
      <c r="A18" s="15" t="s">
        <v>18</v>
      </c>
      <c r="B18" s="16" t="s">
        <v>19</v>
      </c>
      <c r="C18" s="31">
        <v>41551</v>
      </c>
      <c r="D18" s="31">
        <v>37361</v>
      </c>
      <c r="E18" s="31">
        <v>52778</v>
      </c>
    </row>
    <row r="19" spans="1:7">
      <c r="A19" s="15" t="s">
        <v>20</v>
      </c>
      <c r="B19" s="16" t="s">
        <v>23</v>
      </c>
      <c r="C19" s="20">
        <v>83338</v>
      </c>
      <c r="D19" s="20">
        <v>109693</v>
      </c>
      <c r="E19" s="20">
        <v>97467</v>
      </c>
    </row>
    <row r="20" spans="1:7" ht="15" thickBot="1">
      <c r="A20" s="15" t="s">
        <v>22</v>
      </c>
      <c r="B20" s="16" t="s">
        <v>21</v>
      </c>
      <c r="C20" s="46">
        <v>16661</v>
      </c>
      <c r="D20" s="46">
        <v>21868</v>
      </c>
      <c r="E20" s="46">
        <v>19749</v>
      </c>
    </row>
    <row r="21" spans="1:7">
      <c r="A21" s="147" t="s">
        <v>24</v>
      </c>
      <c r="B21" s="16" t="s">
        <v>25</v>
      </c>
      <c r="C21" s="45">
        <f>C19/C20</f>
        <v>5.0019806734289656</v>
      </c>
      <c r="D21" s="45">
        <f>D19/D20</f>
        <v>5.0161423083958292</v>
      </c>
      <c r="E21" s="45">
        <f>E19/E20</f>
        <v>4.9352878626765913</v>
      </c>
    </row>
    <row r="22" spans="1:7">
      <c r="A22" s="147"/>
      <c r="B22" s="22" t="s">
        <v>47</v>
      </c>
      <c r="C22" s="21">
        <f>AVERAGE(C21:E21)</f>
        <v>4.9844702815004629</v>
      </c>
      <c r="D22" s="107"/>
      <c r="E22" s="107"/>
    </row>
    <row r="23" spans="1:7">
      <c r="A23" s="147" t="s">
        <v>28</v>
      </c>
      <c r="B23" s="22" t="s">
        <v>43</v>
      </c>
      <c r="C23" s="23">
        <f>C19/C4</f>
        <v>8333.7999999999993</v>
      </c>
      <c r="D23" s="23">
        <f>D19/D4</f>
        <v>10969.3</v>
      </c>
      <c r="E23" s="23">
        <f>E19/E4</f>
        <v>10829.666666666666</v>
      </c>
    </row>
    <row r="24" spans="1:7">
      <c r="A24" s="147"/>
      <c r="B24" s="22" t="s">
        <v>47</v>
      </c>
      <c r="C24" s="23">
        <f>AVERAGE(C23:E23)</f>
        <v>10044.255555555554</v>
      </c>
      <c r="D24" s="108"/>
      <c r="E24" s="108"/>
    </row>
    <row r="25" spans="1:7" ht="7.25" customHeight="1">
      <c r="A25" s="24"/>
      <c r="B25" s="18"/>
      <c r="C25" s="25"/>
      <c r="D25" s="25"/>
      <c r="E25" s="25"/>
    </row>
    <row r="26" spans="1:7" ht="17" customHeight="1">
      <c r="A26" s="142" t="s">
        <v>27</v>
      </c>
      <c r="B26" s="142"/>
      <c r="C26" s="142"/>
      <c r="D26" s="142"/>
      <c r="E26" s="142"/>
      <c r="G26" s="55"/>
    </row>
    <row r="27" spans="1:7" ht="28">
      <c r="A27" s="145" t="s">
        <v>48</v>
      </c>
      <c r="B27" s="26" t="s">
        <v>45</v>
      </c>
      <c r="C27" s="27">
        <f>(7.5-C22)/ABS(C22)</f>
        <v>0.50467343096331863</v>
      </c>
      <c r="D27" s="27">
        <f>(7.5-D21)/ABS(D21)</f>
        <v>0.49517289161569117</v>
      </c>
      <c r="E27" s="27">
        <f>(7.5-E21)/ABS(E21)</f>
        <v>0.51966819538920861</v>
      </c>
      <c r="G27" s="56"/>
    </row>
    <row r="28" spans="1:7">
      <c r="A28" s="146"/>
      <c r="B28" s="16" t="s">
        <v>26</v>
      </c>
      <c r="C28" s="28">
        <f>AVERAGE(C27:E27)</f>
        <v>0.50650483932273949</v>
      </c>
      <c r="D28" s="107"/>
      <c r="E28" s="107"/>
      <c r="F28" s="56"/>
    </row>
    <row r="29" spans="1:7" ht="29" thickBot="1">
      <c r="A29" s="59" t="s">
        <v>30</v>
      </c>
      <c r="B29" s="26" t="s">
        <v>90</v>
      </c>
      <c r="C29" s="44">
        <f>C20*23%</f>
        <v>3832.03</v>
      </c>
      <c r="D29" s="107"/>
      <c r="E29" s="107"/>
      <c r="F29" s="57"/>
      <c r="G29" s="58"/>
    </row>
    <row r="30" spans="1:7">
      <c r="A30" s="38">
        <v>3.51</v>
      </c>
      <c r="B30" s="16" t="s">
        <v>44</v>
      </c>
      <c r="C30" s="43">
        <f>C29*A30</f>
        <v>13450.425300000001</v>
      </c>
      <c r="D30" s="107"/>
      <c r="E30" s="107"/>
    </row>
    <row r="31" spans="1:7">
      <c r="A31" s="36" t="s">
        <v>78</v>
      </c>
      <c r="B31" s="118" t="s">
        <v>94</v>
      </c>
      <c r="C31" s="118"/>
      <c r="D31" s="35"/>
      <c r="E31" s="35"/>
    </row>
    <row r="32" spans="1:7" ht="15">
      <c r="A32" s="150" t="s">
        <v>84</v>
      </c>
      <c r="B32" s="150"/>
      <c r="C32" s="150"/>
      <c r="D32" s="150"/>
      <c r="E32" s="150"/>
    </row>
    <row r="33" spans="1:5" ht="15.75" customHeight="1">
      <c r="A33" s="17"/>
      <c r="B33" s="18"/>
      <c r="C33" s="37" t="s">
        <v>50</v>
      </c>
      <c r="D33" s="37" t="s">
        <v>49</v>
      </c>
      <c r="E33" s="148" t="s">
        <v>83</v>
      </c>
    </row>
    <row r="34" spans="1:5" ht="18" customHeight="1">
      <c r="A34" s="16" t="s">
        <v>51</v>
      </c>
      <c r="B34" s="33">
        <v>13250</v>
      </c>
      <c r="C34" s="34">
        <f>B34*C4</f>
        <v>132500</v>
      </c>
      <c r="D34" s="66">
        <f>C34/10</f>
        <v>13250</v>
      </c>
      <c r="E34" s="148"/>
    </row>
    <row r="35" spans="1:5" ht="18" customHeight="1" thickBot="1">
      <c r="A35" s="120" t="s">
        <v>80</v>
      </c>
      <c r="B35" s="121"/>
      <c r="C35" s="40">
        <f>C13</f>
        <v>128514.33333333333</v>
      </c>
      <c r="D35" s="67"/>
      <c r="E35" s="148"/>
    </row>
    <row r="36" spans="1:5" ht="18" customHeight="1">
      <c r="A36" s="122" t="s">
        <v>81</v>
      </c>
      <c r="B36" s="123"/>
      <c r="C36" s="39">
        <f>C34-C35</f>
        <v>3985.6666666666715</v>
      </c>
      <c r="D36" s="68">
        <f>C15</f>
        <v>13246.87777777778</v>
      </c>
      <c r="E36" s="148"/>
    </row>
    <row r="37" spans="1:5" ht="18" customHeight="1" thickBot="1">
      <c r="A37" s="15" t="s">
        <v>52</v>
      </c>
      <c r="B37" s="51" t="s">
        <v>82</v>
      </c>
      <c r="C37" s="42">
        <f>C30</f>
        <v>13450.425300000001</v>
      </c>
      <c r="D37" s="67">
        <f>C37/10</f>
        <v>1345.0425300000002</v>
      </c>
      <c r="E37" s="148"/>
    </row>
    <row r="38" spans="1:5" ht="18" customHeight="1">
      <c r="A38" s="116" t="s">
        <v>79</v>
      </c>
      <c r="B38" s="117"/>
      <c r="C38" s="41">
        <f>-C36+C37</f>
        <v>9464.7586333333293</v>
      </c>
      <c r="D38" s="69">
        <f>D34-(D36-D37)</f>
        <v>1348.1647522222211</v>
      </c>
      <c r="E38" s="149"/>
    </row>
    <row r="39" spans="1:5" s="61" customFormat="1" ht="14.5" customHeight="1">
      <c r="A39" s="60" t="s">
        <v>92</v>
      </c>
      <c r="B39" s="70"/>
      <c r="C39" s="63"/>
      <c r="D39" s="63"/>
      <c r="E39" s="63"/>
    </row>
    <row r="40" spans="1:5" s="61" customFormat="1">
      <c r="A40" s="62" t="s">
        <v>37</v>
      </c>
      <c r="B40" s="70"/>
      <c r="C40" s="63"/>
      <c r="D40" s="63"/>
      <c r="E40" s="63"/>
    </row>
    <row r="41" spans="1:5" s="61" customFormat="1">
      <c r="A41" s="63" t="s">
        <v>36</v>
      </c>
      <c r="B41" s="70"/>
      <c r="C41" s="63"/>
      <c r="D41" s="63"/>
      <c r="E41" s="63"/>
    </row>
    <row r="42" spans="1:5" s="61" customFormat="1">
      <c r="A42" s="63" t="s">
        <v>91</v>
      </c>
      <c r="B42" s="70"/>
      <c r="C42" s="63"/>
      <c r="D42" s="63"/>
      <c r="E42" s="63"/>
    </row>
    <row r="43" spans="1:5">
      <c r="A43" s="17"/>
      <c r="B43" s="18"/>
      <c r="C43" s="17"/>
      <c r="D43" s="17"/>
      <c r="E43" s="17"/>
    </row>
    <row r="44" spans="1:5" ht="20">
      <c r="A44" s="153" t="s">
        <v>53</v>
      </c>
      <c r="B44" s="153"/>
      <c r="C44" s="153"/>
      <c r="D44" s="153"/>
      <c r="E44" s="153"/>
    </row>
    <row r="45" spans="1:5" ht="46.75" customHeight="1">
      <c r="A45" s="119" t="s">
        <v>55</v>
      </c>
      <c r="B45" s="119"/>
      <c r="C45" s="119"/>
      <c r="D45" s="119"/>
      <c r="E45" s="71">
        <f>C13</f>
        <v>128514.33333333333</v>
      </c>
    </row>
    <row r="46" spans="1:5" ht="18">
      <c r="A46" s="124" t="s">
        <v>77</v>
      </c>
      <c r="B46" s="125"/>
      <c r="C46" s="125"/>
      <c r="D46" s="125"/>
      <c r="E46" s="126"/>
    </row>
    <row r="47" spans="1:5">
      <c r="A47" s="154" t="s">
        <v>54</v>
      </c>
      <c r="B47" s="155"/>
      <c r="C47" s="155"/>
      <c r="D47" s="155"/>
      <c r="E47" s="156"/>
    </row>
    <row r="48" spans="1:5" ht="24.75" customHeight="1">
      <c r="A48" s="72"/>
      <c r="B48" s="73"/>
      <c r="C48" s="74"/>
      <c r="D48" s="74"/>
      <c r="E48" s="75"/>
    </row>
    <row r="49" spans="1:5">
      <c r="A49" s="76" t="s">
        <v>56</v>
      </c>
      <c r="B49" s="14" t="s">
        <v>57</v>
      </c>
      <c r="C49" s="134" t="s">
        <v>58</v>
      </c>
      <c r="D49" s="134"/>
      <c r="E49" s="77" t="s">
        <v>59</v>
      </c>
    </row>
    <row r="50" spans="1:5">
      <c r="A50" s="76" t="s">
        <v>60</v>
      </c>
      <c r="B50" s="53">
        <v>5</v>
      </c>
      <c r="C50" s="135">
        <v>5</v>
      </c>
      <c r="D50" s="135"/>
      <c r="E50" s="10">
        <f>B50+C50</f>
        <v>10</v>
      </c>
    </row>
    <row r="51" spans="1:5">
      <c r="A51" s="15" t="s">
        <v>61</v>
      </c>
      <c r="B51" s="79" t="s">
        <v>62</v>
      </c>
      <c r="C51" s="152" t="s">
        <v>63</v>
      </c>
      <c r="D51" s="152"/>
      <c r="E51" s="109"/>
    </row>
    <row r="52" spans="1:5">
      <c r="A52" s="15" t="s">
        <v>64</v>
      </c>
      <c r="B52" s="32">
        <v>86000</v>
      </c>
      <c r="C52" s="138">
        <v>82000</v>
      </c>
      <c r="D52" s="138"/>
      <c r="E52" s="110" t="s">
        <v>46</v>
      </c>
    </row>
    <row r="53" spans="1:5">
      <c r="A53" s="15" t="s">
        <v>85</v>
      </c>
      <c r="B53" s="65">
        <f>B52/7</f>
        <v>12285.714285714286</v>
      </c>
      <c r="C53" s="140">
        <f>C52/7</f>
        <v>11714.285714285714</v>
      </c>
      <c r="D53" s="140"/>
      <c r="E53" s="111"/>
    </row>
    <row r="54" spans="1:5">
      <c r="A54" s="15" t="s">
        <v>65</v>
      </c>
      <c r="B54" s="66">
        <f>B53*70.4165%</f>
        <v>8651.17</v>
      </c>
      <c r="C54" s="127"/>
      <c r="D54" s="127"/>
      <c r="E54" s="112"/>
    </row>
    <row r="55" spans="1:5">
      <c r="A55" s="78" t="s">
        <v>66</v>
      </c>
      <c r="B55" s="80">
        <f>B53-B54</f>
        <v>3634.5442857142862</v>
      </c>
      <c r="C55" s="151">
        <f>C52/7</f>
        <v>11714.285714285714</v>
      </c>
      <c r="D55" s="151"/>
      <c r="E55" s="112"/>
    </row>
    <row r="56" spans="1:5">
      <c r="A56" s="78" t="s">
        <v>67</v>
      </c>
      <c r="B56" s="81">
        <f>B55*B50</f>
        <v>18172.721428571429</v>
      </c>
      <c r="C56" s="131">
        <f>C55*C50</f>
        <v>58571.428571428565</v>
      </c>
      <c r="D56" s="131"/>
      <c r="E56" s="82">
        <f>B56+C56</f>
        <v>76744.149999999994</v>
      </c>
    </row>
    <row r="57" spans="1:5">
      <c r="A57" s="52"/>
      <c r="B57" s="74"/>
      <c r="C57" s="74"/>
      <c r="D57" s="83" t="s">
        <v>68</v>
      </c>
      <c r="E57" s="84">
        <f>Sheet1!$C$37</f>
        <v>13450.425300000001</v>
      </c>
    </row>
    <row r="58" spans="1:5" ht="22.75" customHeight="1">
      <c r="A58" s="52"/>
      <c r="B58" s="115" t="s">
        <v>86</v>
      </c>
      <c r="C58" s="115"/>
      <c r="D58" s="115"/>
      <c r="E58" s="85">
        <f>E45-E56+E57</f>
        <v>65220.608633333337</v>
      </c>
    </row>
    <row r="59" spans="1:5">
      <c r="A59" s="86"/>
      <c r="B59" s="87"/>
      <c r="C59" s="87"/>
      <c r="D59" s="87"/>
      <c r="E59" s="88"/>
    </row>
    <row r="60" spans="1:5">
      <c r="A60" s="86" t="s">
        <v>87</v>
      </c>
      <c r="B60" s="89"/>
      <c r="C60" s="90"/>
      <c r="D60" s="74"/>
      <c r="E60" s="75"/>
    </row>
    <row r="61" spans="1:5">
      <c r="A61" s="72" t="s">
        <v>74</v>
      </c>
      <c r="B61" s="91"/>
      <c r="C61" s="92"/>
      <c r="D61" s="74"/>
      <c r="E61" s="75"/>
    </row>
    <row r="62" spans="1:5">
      <c r="A62" s="93" t="s">
        <v>75</v>
      </c>
      <c r="B62" s="94"/>
      <c r="C62" s="89"/>
      <c r="D62" s="74"/>
      <c r="E62" s="75"/>
    </row>
    <row r="63" spans="1:5">
      <c r="A63" s="95" t="s">
        <v>88</v>
      </c>
      <c r="B63" s="96"/>
      <c r="C63" s="96"/>
      <c r="D63" s="96"/>
      <c r="E63" s="97"/>
    </row>
    <row r="64" spans="1:5">
      <c r="A64" s="17"/>
      <c r="B64" s="17"/>
      <c r="C64" s="17"/>
      <c r="D64" s="17"/>
      <c r="E64" s="17"/>
    </row>
    <row r="65" spans="1:5" ht="18">
      <c r="A65" s="124" t="s">
        <v>76</v>
      </c>
      <c r="B65" s="125"/>
      <c r="C65" s="125"/>
      <c r="D65" s="125"/>
      <c r="E65" s="126"/>
    </row>
    <row r="66" spans="1:5" ht="36" customHeight="1">
      <c r="A66" s="15" t="s">
        <v>69</v>
      </c>
      <c r="B66" s="14" t="s">
        <v>57</v>
      </c>
      <c r="C66" s="133" t="s">
        <v>58</v>
      </c>
      <c r="D66" s="134"/>
      <c r="E66" s="77" t="s">
        <v>50</v>
      </c>
    </row>
    <row r="67" spans="1:5">
      <c r="A67" s="76" t="s">
        <v>60</v>
      </c>
      <c r="B67" s="53">
        <v>5</v>
      </c>
      <c r="C67" s="135">
        <v>5</v>
      </c>
      <c r="D67" s="135"/>
      <c r="E67" s="98">
        <f>B67+C67</f>
        <v>10</v>
      </c>
    </row>
    <row r="68" spans="1:5">
      <c r="A68" s="15" t="s">
        <v>61</v>
      </c>
      <c r="B68" s="54" t="s">
        <v>62</v>
      </c>
      <c r="C68" s="136" t="s">
        <v>63</v>
      </c>
      <c r="D68" s="137"/>
      <c r="E68" s="113"/>
    </row>
    <row r="69" spans="1:5">
      <c r="A69" s="15" t="s">
        <v>70</v>
      </c>
      <c r="B69" s="32">
        <v>85000</v>
      </c>
      <c r="C69" s="138">
        <v>82000</v>
      </c>
      <c r="D69" s="139"/>
      <c r="E69" s="112"/>
    </row>
    <row r="70" spans="1:5">
      <c r="A70" s="15" t="s">
        <v>71</v>
      </c>
      <c r="B70" s="65">
        <v>14000</v>
      </c>
      <c r="C70" s="140">
        <v>13700</v>
      </c>
      <c r="D70" s="141"/>
      <c r="E70" s="111"/>
    </row>
    <row r="71" spans="1:5">
      <c r="A71" s="15" t="s">
        <v>72</v>
      </c>
      <c r="B71" s="84">
        <f>B70*70.4165%</f>
        <v>9858.3100000000013</v>
      </c>
      <c r="C71" s="127"/>
      <c r="D71" s="128"/>
      <c r="E71" s="112"/>
    </row>
    <row r="72" spans="1:5">
      <c r="A72" s="78" t="s">
        <v>66</v>
      </c>
      <c r="B72" s="81">
        <f>B70-B71</f>
        <v>4141.6899999999987</v>
      </c>
      <c r="C72" s="129">
        <f>C70</f>
        <v>13700</v>
      </c>
      <c r="D72" s="130"/>
      <c r="E72" s="114" t="s">
        <v>46</v>
      </c>
    </row>
    <row r="73" spans="1:5">
      <c r="A73" s="78" t="s">
        <v>73</v>
      </c>
      <c r="B73" s="81">
        <f>B72*B67</f>
        <v>20708.449999999993</v>
      </c>
      <c r="C73" s="131">
        <f>C72*C67</f>
        <v>68500</v>
      </c>
      <c r="D73" s="131"/>
      <c r="E73" s="82">
        <f>B73+C73</f>
        <v>89208.45</v>
      </c>
    </row>
    <row r="74" spans="1:5">
      <c r="A74" s="86"/>
      <c r="B74" s="74"/>
      <c r="C74" s="132" t="s">
        <v>31</v>
      </c>
      <c r="D74" s="132"/>
      <c r="E74" s="99">
        <f>Sheet1!$C$37</f>
        <v>13450.425300000001</v>
      </c>
    </row>
    <row r="75" spans="1:5" ht="22.75" customHeight="1">
      <c r="A75" s="86"/>
      <c r="B75" s="115" t="s">
        <v>86</v>
      </c>
      <c r="C75" s="115"/>
      <c r="D75" s="115"/>
      <c r="E75" s="100">
        <f>E45-E73+E74</f>
        <v>52756.308633333334</v>
      </c>
    </row>
    <row r="76" spans="1:5">
      <c r="A76" s="72"/>
      <c r="B76" s="73"/>
      <c r="C76" s="74"/>
      <c r="D76" s="74"/>
      <c r="E76" s="75"/>
    </row>
    <row r="77" spans="1:5">
      <c r="A77" s="101" t="s">
        <v>89</v>
      </c>
      <c r="B77" s="102"/>
      <c r="C77" s="96"/>
      <c r="D77" s="96"/>
      <c r="E77" s="97"/>
    </row>
  </sheetData>
  <sheetProtection password="CA2B" sheet="1" objects="1" scenarios="1" selectLockedCells="1"/>
  <mergeCells count="36">
    <mergeCell ref="E33:E38"/>
    <mergeCell ref="A32:E32"/>
    <mergeCell ref="C52:D52"/>
    <mergeCell ref="C53:D53"/>
    <mergeCell ref="C55:D55"/>
    <mergeCell ref="C54:D54"/>
    <mergeCell ref="C51:D51"/>
    <mergeCell ref="A44:E44"/>
    <mergeCell ref="A46:E46"/>
    <mergeCell ref="A47:E47"/>
    <mergeCell ref="A26:E26"/>
    <mergeCell ref="A1:E1"/>
    <mergeCell ref="C2:E2"/>
    <mergeCell ref="A27:A28"/>
    <mergeCell ref="A23:A24"/>
    <mergeCell ref="A21:A22"/>
    <mergeCell ref="B75:D75"/>
    <mergeCell ref="A65:E65"/>
    <mergeCell ref="C71:D71"/>
    <mergeCell ref="C72:D72"/>
    <mergeCell ref="C73:D73"/>
    <mergeCell ref="C74:D74"/>
    <mergeCell ref="C66:D66"/>
    <mergeCell ref="C67:D67"/>
    <mergeCell ref="C68:D68"/>
    <mergeCell ref="C69:D69"/>
    <mergeCell ref="C70:D70"/>
    <mergeCell ref="B58:D58"/>
    <mergeCell ref="A38:B38"/>
    <mergeCell ref="B31:C31"/>
    <mergeCell ref="A45:D45"/>
    <mergeCell ref="A35:B35"/>
    <mergeCell ref="A36:B36"/>
    <mergeCell ref="C56:D56"/>
    <mergeCell ref="C49:D49"/>
    <mergeCell ref="C50:D50"/>
  </mergeCells>
  <pageMargins left="0.2" right="0.2" top="0" bottom="0" header="0.3" footer="0.3"/>
  <pageSetup orientation="portrait"/>
  <ignoredErrors>
    <ignoredError sqref="C2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Oakland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Lori</dc:creator>
  <cp:lastModifiedBy>Brooke Clay</cp:lastModifiedBy>
  <cp:lastPrinted>2014-05-01T17:59:46Z</cp:lastPrinted>
  <dcterms:created xsi:type="dcterms:W3CDTF">2011-03-30T18:21:33Z</dcterms:created>
  <dcterms:modified xsi:type="dcterms:W3CDTF">2015-04-23T18:55:57Z</dcterms:modified>
</cp:coreProperties>
</file>